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51841177253\Desktop\AGERO\"/>
    </mc:Choice>
  </mc:AlternateContent>
  <bookViews>
    <workbookView xWindow="0" yWindow="0" windowWidth="16200" windowHeight="12435" tabRatio="951" firstSheet="2" activeTab="4"/>
  </bookViews>
  <sheets>
    <sheet name="Plan2" sheetId="2" state="hidden" r:id="rId1"/>
    <sheet name="Plan3" sheetId="3" state="hidden" r:id="rId2"/>
    <sheet name="RESUMO POR POSTO" sheetId="66" r:id="rId3"/>
    <sheet name="AUX LIMPEZA SEM INSALUBRIDADE" sheetId="52" state="hidden" r:id="rId4"/>
    <sheet name="AUX LIMPEZA COM INSALUBRIDADE" sheetId="64" r:id="rId5"/>
    <sheet name="UNIFORME" sheetId="63" r:id="rId6"/>
    <sheet name="MATERIAIS E EQUIPAMENTOS" sheetId="47" r:id="rId7"/>
  </sheets>
  <definedNames>
    <definedName name="_xlnm.Print_Area" localSheetId="4">'AUX LIMPEZA COM INSALUBRIDADE'!$A$1:$E$110</definedName>
    <definedName name="_xlnm.Print_Area" localSheetId="3">'AUX LIMPEZA SEM INSALUBRIDADE'!$A$1:$E$111</definedName>
    <definedName name="_xlnm.Print_Area" localSheetId="6">'MATERIAIS E EQUIPAMENTOS'!$A$1:$O$58</definedName>
    <definedName name="_xlnm.Print_Area" localSheetId="2">'RESUMO POR POSTO'!$A$1:$G$10</definedName>
    <definedName name="_xlnm.Print_Area" localSheetId="5">UNIFORME!$A$1:$F$10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64" l="1"/>
  <c r="E42" i="64"/>
  <c r="D56" i="64" l="1"/>
  <c r="D55" i="64"/>
  <c r="D63" i="64" l="1"/>
  <c r="D58" i="64"/>
  <c r="E45" i="64"/>
  <c r="E19" i="64"/>
  <c r="L5" i="47" l="1"/>
  <c r="L52" i="47"/>
  <c r="M52" i="47" s="1"/>
  <c r="O52" i="47" s="1"/>
  <c r="L16" i="47"/>
  <c r="M16" i="47" s="1"/>
  <c r="O16" i="47" s="1"/>
  <c r="L4" i="47"/>
  <c r="M4" i="47" s="1"/>
  <c r="O4" i="47" s="1"/>
  <c r="D8" i="66"/>
  <c r="E17" i="64"/>
  <c r="E4" i="63"/>
  <c r="L51" i="47" l="1"/>
  <c r="E7" i="63"/>
  <c r="F7" i="63" s="1"/>
  <c r="D100" i="64"/>
  <c r="D92" i="64"/>
  <c r="D73" i="64"/>
  <c r="D77" i="64" s="1"/>
  <c r="E72" i="64"/>
  <c r="E73" i="64" s="1"/>
  <c r="E77" i="64" s="1"/>
  <c r="D65" i="64"/>
  <c r="D40" i="64"/>
  <c r="D27" i="64"/>
  <c r="D29" i="64" s="1"/>
  <c r="E18" i="64"/>
  <c r="D69" i="64" l="1"/>
  <c r="D76" i="64" s="1"/>
  <c r="D78" i="64" s="1"/>
  <c r="E47" i="64"/>
  <c r="E51" i="64" s="1"/>
  <c r="E21" i="64"/>
  <c r="E20" i="64"/>
  <c r="D18" i="64"/>
  <c r="D60" i="64"/>
  <c r="D93" i="52"/>
  <c r="L44" i="47"/>
  <c r="M44" i="47" s="1"/>
  <c r="O44" i="47" s="1"/>
  <c r="M51" i="47"/>
  <c r="O51" i="47" s="1"/>
  <c r="L50" i="47"/>
  <c r="M50" i="47" s="1"/>
  <c r="O50" i="47" s="1"/>
  <c r="L49" i="47"/>
  <c r="M49" i="47" s="1"/>
  <c r="O49" i="47" s="1"/>
  <c r="L48" i="47"/>
  <c r="M48" i="47" s="1"/>
  <c r="O48" i="47" s="1"/>
  <c r="L47" i="47"/>
  <c r="M47" i="47" s="1"/>
  <c r="O47" i="47" s="1"/>
  <c r="L46" i="47"/>
  <c r="M46" i="47" s="1"/>
  <c r="O46" i="47" s="1"/>
  <c r="L45" i="47"/>
  <c r="M45" i="47" s="1"/>
  <c r="O45" i="47" s="1"/>
  <c r="L37" i="47"/>
  <c r="M37" i="47" s="1"/>
  <c r="O37" i="47" s="1"/>
  <c r="L36" i="47"/>
  <c r="M36" i="47" s="1"/>
  <c r="O36" i="47" s="1"/>
  <c r="L35" i="47"/>
  <c r="M35" i="47" s="1"/>
  <c r="O35" i="47" s="1"/>
  <c r="L34" i="47"/>
  <c r="M34" i="47" s="1"/>
  <c r="O34" i="47" s="1"/>
  <c r="O38" i="47" s="1"/>
  <c r="L28" i="47"/>
  <c r="M28" i="47" s="1"/>
  <c r="O28" i="47" s="1"/>
  <c r="L27" i="47"/>
  <c r="M27" i="47" s="1"/>
  <c r="O27" i="47" s="1"/>
  <c r="L26" i="47"/>
  <c r="M26" i="47" s="1"/>
  <c r="O26" i="47" s="1"/>
  <c r="L25" i="47"/>
  <c r="M25" i="47" s="1"/>
  <c r="O25" i="47" s="1"/>
  <c r="L24" i="47"/>
  <c r="M24" i="47" s="1"/>
  <c r="O24" i="47" s="1"/>
  <c r="O29" i="47" s="1"/>
  <c r="L18" i="47"/>
  <c r="M18" i="47" s="1"/>
  <c r="O18" i="47" s="1"/>
  <c r="L17" i="47"/>
  <c r="M17" i="47" s="1"/>
  <c r="O17" i="47" s="1"/>
  <c r="L15" i="47"/>
  <c r="M15" i="47" s="1"/>
  <c r="O15" i="47" s="1"/>
  <c r="L14" i="47"/>
  <c r="M14" i="47" s="1"/>
  <c r="O14" i="47" s="1"/>
  <c r="L13" i="47"/>
  <c r="M13" i="47" s="1"/>
  <c r="O13" i="47" s="1"/>
  <c r="L12" i="47"/>
  <c r="M12" i="47" s="1"/>
  <c r="O12" i="47" s="1"/>
  <c r="L11" i="47"/>
  <c r="M11" i="47" s="1"/>
  <c r="O11" i="47" s="1"/>
  <c r="L10" i="47"/>
  <c r="M10" i="47" s="1"/>
  <c r="O10" i="47" s="1"/>
  <c r="L9" i="47"/>
  <c r="M9" i="47" s="1"/>
  <c r="O9" i="47" s="1"/>
  <c r="L8" i="47"/>
  <c r="M8" i="47" s="1"/>
  <c r="O8" i="47" s="1"/>
  <c r="L7" i="47"/>
  <c r="M7" i="47" s="1"/>
  <c r="O7" i="47" s="1"/>
  <c r="L6" i="47"/>
  <c r="M6" i="47" s="1"/>
  <c r="O6" i="47" s="1"/>
  <c r="M5" i="47"/>
  <c r="O5" i="47" s="1"/>
  <c r="E8" i="63"/>
  <c r="F8" i="63" s="1"/>
  <c r="E6" i="63"/>
  <c r="F6" i="63" s="1"/>
  <c r="E5" i="63"/>
  <c r="F5" i="63" s="1"/>
  <c r="F4" i="63"/>
  <c r="O53" i="47" l="1"/>
  <c r="O19" i="47"/>
  <c r="O20" i="47" s="1"/>
  <c r="E24" i="64"/>
  <c r="O39" i="47"/>
  <c r="O30" i="47"/>
  <c r="F9" i="63"/>
  <c r="E56" i="64" l="1"/>
  <c r="E58" i="64"/>
  <c r="E68" i="64"/>
  <c r="E66" i="64"/>
  <c r="E65" i="64"/>
  <c r="E64" i="64"/>
  <c r="E63" i="64"/>
  <c r="E67" i="64"/>
  <c r="E57" i="64"/>
  <c r="E55" i="64"/>
  <c r="E27" i="64"/>
  <c r="E28" i="64"/>
  <c r="E59" i="64"/>
  <c r="E103" i="64"/>
  <c r="E81" i="64"/>
  <c r="E82" i="52"/>
  <c r="E69" i="64" l="1"/>
  <c r="E60" i="64"/>
  <c r="E105" i="64" s="1"/>
  <c r="E29" i="64"/>
  <c r="E49" i="64" l="1"/>
  <c r="E37" i="64"/>
  <c r="E36" i="64"/>
  <c r="E33" i="64"/>
  <c r="E39" i="64"/>
  <c r="E35" i="64"/>
  <c r="E32" i="64"/>
  <c r="E34" i="64"/>
  <c r="E40" i="64" l="1"/>
  <c r="E50" i="64" s="1"/>
  <c r="E52" i="64" s="1"/>
  <c r="E104" i="64" s="1"/>
  <c r="E76" i="64" l="1"/>
  <c r="E78" i="64" s="1"/>
  <c r="E106" i="64" s="1"/>
  <c r="D66" i="52" l="1"/>
  <c r="D67" i="52" l="1"/>
  <c r="D55" i="52"/>
  <c r="E46" i="52"/>
  <c r="E43" i="52"/>
  <c r="E19" i="52"/>
  <c r="O54" i="47" l="1"/>
  <c r="D64" i="52" l="1"/>
  <c r="E42" i="52" l="1"/>
  <c r="D56" i="52" l="1"/>
  <c r="E45" i="52"/>
  <c r="D101" i="52" l="1"/>
  <c r="D74" i="52"/>
  <c r="E73" i="52"/>
  <c r="E74" i="52" s="1"/>
  <c r="E78" i="52" s="1"/>
  <c r="E47" i="52"/>
  <c r="E51" i="52" s="1"/>
  <c r="D40" i="52"/>
  <c r="D27" i="52"/>
  <c r="D29" i="52" s="1"/>
  <c r="E17" i="52"/>
  <c r="D18" i="52" l="1"/>
  <c r="E18" i="52"/>
  <c r="E21" i="52" s="1"/>
  <c r="D59" i="52"/>
  <c r="D61" i="52" s="1"/>
  <c r="D70" i="52"/>
  <c r="D77" i="52" s="1"/>
  <c r="D78" i="52"/>
  <c r="E20" i="52" l="1"/>
  <c r="E24" i="52" s="1"/>
  <c r="D79" i="52"/>
  <c r="E28" i="52" l="1"/>
  <c r="E27" i="52"/>
  <c r="E55" i="52"/>
  <c r="E57" i="52"/>
  <c r="E60" i="52"/>
  <c r="E56" i="52"/>
  <c r="E104" i="52"/>
  <c r="E58" i="52"/>
  <c r="E29" i="52" l="1"/>
  <c r="E32" i="52" s="1"/>
  <c r="E61" i="52"/>
  <c r="E106" i="52" s="1"/>
  <c r="E39" i="52" l="1"/>
  <c r="E37" i="52"/>
  <c r="E33" i="52"/>
  <c r="E34" i="52"/>
  <c r="E35" i="52"/>
  <c r="E49" i="52"/>
  <c r="E36" i="52"/>
  <c r="E40" i="52" l="1"/>
  <c r="E50" i="52" s="1"/>
  <c r="E52" i="52" s="1"/>
  <c r="E105" i="52" l="1"/>
  <c r="E69" i="52" l="1"/>
  <c r="D13" i="2" l="1"/>
  <c r="D12" i="2"/>
  <c r="D11" i="2"/>
  <c r="D10" i="2"/>
  <c r="D9" i="2"/>
  <c r="D8" i="2"/>
  <c r="O58" i="47" l="1"/>
  <c r="E70" i="52"/>
  <c r="E77" i="52" s="1"/>
  <c r="E79" i="52" s="1"/>
  <c r="E83" i="64" l="1"/>
  <c r="O57" i="47"/>
  <c r="E107" i="52"/>
  <c r="E82" i="64" l="1"/>
  <c r="E85" i="64" s="1"/>
  <c r="E107" i="64" s="1"/>
  <c r="E108" i="64" s="1"/>
  <c r="E86" i="52"/>
  <c r="E108" i="52" s="1"/>
  <c r="E109" i="52" s="1"/>
  <c r="E86" i="64" l="1"/>
  <c r="E87" i="64" s="1"/>
  <c r="E90" i="64" s="1"/>
  <c r="E91" i="64" s="1"/>
  <c r="E92" i="64" s="1"/>
  <c r="E93" i="64" s="1"/>
  <c r="E87" i="52"/>
  <c r="E88" i="52" s="1"/>
  <c r="E91" i="52" s="1"/>
  <c r="E96" i="64" l="1"/>
  <c r="E95" i="64"/>
  <c r="E99" i="64"/>
  <c r="E92" i="52"/>
  <c r="E93" i="52" s="1"/>
  <c r="E94" i="52" s="1"/>
  <c r="E97" i="52" s="1"/>
  <c r="E100" i="64" l="1"/>
  <c r="E101" i="64" s="1"/>
  <c r="E109" i="64" s="1"/>
  <c r="E100" i="52"/>
  <c r="E96" i="52"/>
  <c r="E110" i="64" l="1"/>
  <c r="E7" i="66" s="1"/>
  <c r="F7" i="66" s="1"/>
  <c r="G7" i="66" s="1"/>
  <c r="E101" i="52"/>
  <c r="E102" i="52" s="1"/>
  <c r="E110" i="52" s="1"/>
  <c r="E111" i="52" s="1"/>
  <c r="G8" i="66" l="1"/>
  <c r="F8" i="66"/>
</calcChain>
</file>

<file path=xl/sharedStrings.xml><?xml version="1.0" encoding="utf-8"?>
<sst xmlns="http://schemas.openxmlformats.org/spreadsheetml/2006/main" count="630" uniqueCount="293">
  <si>
    <t>A</t>
  </si>
  <si>
    <t>Data de apresentação da proposta (mês/ano)</t>
  </si>
  <si>
    <t>B</t>
  </si>
  <si>
    <t>C</t>
  </si>
  <si>
    <t>Ano Acordo, Convenção ou Sentença Normativa em Dissídio Coletivo</t>
  </si>
  <si>
    <t>D</t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</si>
  <si>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</si>
  <si>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</si>
  <si>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</si>
  <si>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</si>
  <si>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</si>
  <si>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</si>
  <si>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</si>
  <si>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</si>
  <si>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</si>
  <si>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</si>
  <si>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</si>
  <si>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</si>
  <si>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Noturno</t>
  </si>
  <si>
    <t>E</t>
  </si>
  <si>
    <t>F</t>
  </si>
  <si>
    <t>G</t>
  </si>
  <si>
    <t>TOTAL DA REMUNERAÇÃO</t>
  </si>
  <si>
    <t>TOTAL DE BENEFÍCIOS MENSAIS E DIÁRIOS</t>
  </si>
  <si>
    <t>4.1</t>
  </si>
  <si>
    <t>Encargos previdenciários e FGTS</t>
  </si>
  <si>
    <t>H</t>
  </si>
  <si>
    <t>TOTAL</t>
  </si>
  <si>
    <t>4.2</t>
  </si>
  <si>
    <t>13 º Salário</t>
  </si>
  <si>
    <t>Provisão para Rescisão</t>
  </si>
  <si>
    <t>Aviso prévio trabalhado</t>
  </si>
  <si>
    <t>Módulo 4 – Encargos sociais e trabalhistas</t>
  </si>
  <si>
    <t>TOTAL DOS ENCARGOS SOCIAIS E TRABALHISTAS</t>
  </si>
  <si>
    <t>Custos Indiretos, Tributos e Lucro</t>
  </si>
  <si>
    <t>Custos Indiretos</t>
  </si>
  <si>
    <t>Lucro (MT + M5.A)</t>
  </si>
  <si>
    <t>Tributos</t>
  </si>
  <si>
    <t>C1. Tributos Federais</t>
  </si>
  <si>
    <t>C.2 Tributos Estaduais (especificar)</t>
  </si>
  <si>
    <t xml:space="preserve">C.3 Tributos Municipais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</si>
  <si>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</si>
  <si>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</si>
  <si>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</si>
  <si>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</si>
  <si>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Subtotal (A + B +C+ D)</t>
  </si>
  <si>
    <t>Módulo 5 – Custos indiretos, tributos e lucro</t>
  </si>
  <si>
    <t>VALOR TOTAL POR EMPREGADO</t>
  </si>
  <si>
    <t xml:space="preserve"> MÓDULO 2: BENEFÍCIOS MENSAIS E DIÁRIOS</t>
  </si>
  <si>
    <t>]</t>
  </si>
  <si>
    <t>27/08/2012 - APLICABILIDADE DA LEI Nº 12.506, DE 11 DE OUTUBRO DE 2011</t>
  </si>
  <si>
    <t>AVISO PRÉVIO TRABALHADO</t>
  </si>
  <si>
    <t>COMUNICA</t>
  </si>
  <si>
    <t>Com a publicação da LEI 12.506/2011, ainda que esta não se manifeste sobre a redução da jornada e da proporcionalidade nos dias de falta ao trabalho no caso de aviso prévio trabalhado, poder-se-ia entender que o empregado teria direito à redução de 2 horas diárias, bem como poderia faltar ao trabalho o número de dias proporcionais ao tempo trabalhado.</t>
  </si>
  <si>
    <r>
      <t>ASSIM SENDO, COM A NOVA PREVISÃO LEGAL</t>
    </r>
    <r>
      <rPr>
        <b/>
        <sz val="8"/>
        <color rgb="FFFF0000"/>
        <rFont val="Verdana"/>
        <family val="2"/>
      </rPr>
      <t>, HAVERÁ NECESSIDADE DE MODIFICAÇÃO NA METODOLOGIA ATÉ ENTÃO ADOTADA PARA PRORROGAÇÃO DOS CONTRATOS DE PRESTAÇÃO DE SERVIÇOS COM ALOCAÇÃO DE MÃO DE OBRA. NESSE CASO, O VALOR PREVISTO A TÍTULO DE AVISO PRÉVIO DEVERÁ CONSIDERAR 3 (TRÊS) DIAS PARA CADA ANO DE PRORROGAÇÃO, ATÉ O LIMITE DE 12 (DOZE) DIAS, PERFAZENDO UM TOTAL DE 42 (QUARENTA E DOIS) DIAS</t>
    </r>
    <r>
      <rPr>
        <sz val="8"/>
        <color rgb="FF000000"/>
        <rFont val="Verdana"/>
        <family val="2"/>
      </rPr>
      <t>, VISTO QUE O INCISO II DO ART. 57 DA LEI N° 8.666, DE 21 DE JUNHO DE 1993, PERMITE QUE OS CONTRATOS DE PRESTAÇÃO DE SERVIÇOS CONTINUADOS SEJAM PRORROGADOS ATÉ UM LIMITE DE SESSENTA MESES, CASO OS PREÇOS E CONDIÇÕES SEJAM MAIS VANTAJOSOS PARA A ADMINISTRAÇÃO. DESSA FORMA, A METODOLOGIA REFLETIRÁ O PRAZO DE AVISO PRÉVIO QUE O EMPREGADO ACUMULA NO PRIMEIRO ANO E NOS SEGUINTES DO CONTRATO.</t>
    </r>
  </si>
  <si>
    <t>Aviso Prévio Trabalhado - Demissão Sem Justa Causa</t>
  </si>
  <si>
    <t>BRASÍLIA-DF, 15 DE AGOSTO DE 2012</t>
  </si>
  <si>
    <t>Tempo Trabalhado</t>
  </si>
  <si>
    <t>Dias de Aviso</t>
  </si>
  <si>
    <t>Faltas ao Trabalho</t>
  </si>
  <si>
    <t>SECRETARIA DE LOGÍSTICA E TECNOLOGIA DA INFORMAÇÃO – SLTI</t>
  </si>
  <si>
    <t>no final do aviso</t>
  </si>
  <si>
    <t>DEPARTAMENTO DE LOGÍSTICA E SERVIÇOS GERAIS – DLSG</t>
  </si>
  <si>
    <t>Até 1 ano</t>
  </si>
  <si>
    <t>COORDENAÇÃO-GERAL DE NORMAS – CGN</t>
  </si>
  <si>
    <t>Até 2 anos</t>
  </si>
  <si>
    <t>Até 3 anos</t>
  </si>
  <si>
    <t>Até 4 anos</t>
  </si>
  <si>
    <t>Até 5 anos</t>
  </si>
  <si>
    <t>Até 6 anos</t>
  </si>
  <si>
    <t>Até 7 anos</t>
  </si>
  <si>
    <t>Até 8 anos</t>
  </si>
  <si>
    <t>Até 9 anos</t>
  </si>
  <si>
    <t>Até 10 anos</t>
  </si>
  <si>
    <t>Até 11 anos</t>
  </si>
  <si>
    <t>Até 12 anos</t>
  </si>
  <si>
    <t>Até 13 anos</t>
  </si>
  <si>
    <t>Até 14 anos</t>
  </si>
  <si>
    <t>Até 15 anos</t>
  </si>
  <si>
    <t>Até 16 anos</t>
  </si>
  <si>
    <t>Até 17 anos</t>
  </si>
  <si>
    <t>Até 18 anos</t>
  </si>
  <si>
    <t>Até 19 anos</t>
  </si>
  <si>
    <t>Até 20 anos</t>
  </si>
  <si>
    <t>A partir de 20 anos</t>
  </si>
  <si>
    <t>VOLTAR PLANILHA PRINCIPAL</t>
  </si>
  <si>
    <r>
      <t>Nota:</t>
    </r>
    <r>
      <rPr>
        <sz val="14"/>
        <color rgb="FF000000"/>
        <rFont val="Calibri"/>
        <family val="2"/>
        <scheme val="minor"/>
      </rPr>
      <t> Entretanto, a lei não especifica que deva aplicar esta proporcionalidade de acordo com o tempo de empresa, porquanto </t>
    </r>
    <r>
      <rPr>
        <b/>
        <u/>
        <sz val="14"/>
        <color rgb="FF000000"/>
        <rFont val="Calibri"/>
        <family val="2"/>
        <scheme val="minor"/>
      </rPr>
      <t>entendemos que a falta ao final do aviso ainda seja de 7 (sete) dias</t>
    </r>
    <r>
      <rPr>
        <sz val="14"/>
        <color rgb="FF000000"/>
        <rFont val="Calibri"/>
        <family val="2"/>
        <scheme val="minor"/>
      </rPr>
      <t>. Já em relação a redução de jornada, </t>
    </r>
    <r>
      <rPr>
        <b/>
        <u/>
        <sz val="14"/>
        <color rgb="FF000000"/>
        <rFont val="Calibri"/>
        <family val="2"/>
        <scheme val="minor"/>
      </rPr>
      <t>entendemos que deva ser de 2 horas independentemente do número de dias</t>
    </r>
    <r>
      <rPr>
        <sz val="14"/>
        <color rgb="FF000000"/>
        <rFont val="Calibri"/>
        <family val="2"/>
        <scheme val="minor"/>
      </rPr>
      <t> de aviso trabalhado.</t>
    </r>
  </si>
  <si>
    <t>Exemplo</t>
  </si>
  <si>
    <t>Empregado (com um ano de emprego) recebeu a comunicação de desligamento em 01.07.2011, optou pela falta ao serviço durante os últimos 7 (sete) dias corridos. Neste caso, considerando o início da contagem dos 30 dias em 02.07.2011 (dia seguinte ao da comunicação), o término do aviso e consequentemente a baixa na CTPS foi em 31.07.2011, embora o mesmo só trabalhe até 24.07.2011.</t>
  </si>
  <si>
    <t>Neste caso, a data de pagamento das verbas rescisórias será o dia seguinte ao término do aviso, ou seja, 01.08.2011.</t>
  </si>
  <si>
    <t>FONTE: www.guiatrabalhista.com.br</t>
  </si>
  <si>
    <t>PRORROGAÇÃO EXECEPCIONAL (§ 4º DO ART. 57 DA LLC)</t>
  </si>
  <si>
    <t>FALTAS LEGAIS</t>
  </si>
  <si>
    <t>Limite de Faltas</t>
  </si>
  <si>
    <t>Motivo</t>
  </si>
  <si>
    <t>Colunas1</t>
  </si>
  <si>
    <t>Colunas2</t>
  </si>
  <si>
    <t>até 2 dias consecutivos</t>
  </si>
  <si>
    <t>Falecimento de cônjuge, ascendente, descendente, irmão ou pessoa que, declarada em sua CTPS, viva sob sua dependência econômica.</t>
  </si>
  <si>
    <t>até 3 dias consecutivos</t>
  </si>
  <si>
    <t>Casamento</t>
  </si>
  <si>
    <t>5 dias, no decorrer da primeira semana</t>
  </si>
  <si>
    <t>Nascimento de Filho (Este inciso fica tacitamente revogado em virtude do inciso XIX do art. 7º da CF/88 que instituiu a Licença-Paternidade e pelo § 1º do Art. 10 da ADCT/88 que fixou o prazo para 5 (cinco) dias.)</t>
  </si>
  <si>
    <t>1 dia em cada 12 meses de trabalho</t>
  </si>
  <si>
    <t>Doação voluntária de sangue devidamente comprovada</t>
  </si>
  <si>
    <t>até 2 dias consecutivos ou não</t>
  </si>
  <si>
    <t>Alistamento eleitoral</t>
  </si>
  <si>
    <t>até 9 dias</t>
  </si>
  <si>
    <t>gala ou luto, em conseqüência de falecimento do cônjuge, do pai ou mãe, ou de filho de professor</t>
  </si>
  <si>
    <t>---</t>
  </si>
  <si>
    <t>Dias em que estiver comprovadamente realizando provas do exame vestibular em estabelecimento de ensino superior</t>
  </si>
  <si>
    <t>No período de tempo em que tiver de cumprir as exigências do Serviço Militar (art. 65 letra "c" da Lei nº 4375/64)</t>
  </si>
  <si>
    <t>Apresentar-se, anualmente, no local e data que forem fixados, para fins de exercício de apresentação das reservas ou cerimônia cívica do Dia do Reservista.</t>
  </si>
  <si>
    <t>Ausências decorrentes de exercícios ou manobras, pelo convocado matriculado em órgão de formação de reserva (art.60 § 4º da Lei º 4375/64)</t>
  </si>
  <si>
    <t>Ausência do empregado, justificada, a critério do empregador</t>
  </si>
  <si>
    <t>Paralisação dos serviços nos dias em que, por conveniência do empregador, não tenha havido trabalho.</t>
  </si>
  <si>
    <t>Falta ao serviço por acidente de trabalho</t>
  </si>
  <si>
    <t>2 semanas</t>
  </si>
  <si>
    <t>Aborto não criminoso, comprovado por atestado médico oficial</t>
  </si>
  <si>
    <t>até 15 dias</t>
  </si>
  <si>
    <t>Doença, devidamente comprovada por atestado médico (1)</t>
  </si>
  <si>
    <t>Comparecimento necessário, como parte, à Justiça do Trabalho</t>
  </si>
  <si>
    <t>Comparecimento para depor na Justiça, quando devidamente arrolado ou convocado como testemunha</t>
  </si>
  <si>
    <t>Comparecimento às sessões do júri, como jurado sorteado</t>
  </si>
  <si>
    <t>Ausências dos representantes dos trabalhadores no Conselho Curador do FGTS, decorrentes de atividades desse órgão</t>
  </si>
  <si>
    <t>Convocação para o serviço eleitoral</t>
  </si>
  <si>
    <t xml:space="preserve"> </t>
  </si>
  <si>
    <t>PLANILHA DE CUSTOS E FORMAÇÃO DE PREÇOS</t>
  </si>
  <si>
    <t>Tipo de serviço (mesmo serviço com características distintas)</t>
  </si>
  <si>
    <t>INTERVALO INTRAJORNADA</t>
  </si>
  <si>
    <t>DSR INTRAJORNADA</t>
  </si>
  <si>
    <t>ATIVIDADES DE CONSERVAÇÃO E LIMPEZA PREDIAL</t>
  </si>
  <si>
    <t>ESPECIFICAÇÃO</t>
  </si>
  <si>
    <t>ITEM</t>
  </si>
  <si>
    <t>UND</t>
  </si>
  <si>
    <t>VALOR UNT (M²)</t>
  </si>
  <si>
    <t>VALOR TOTAL (Mensal)</t>
  </si>
  <si>
    <t>2.1</t>
  </si>
  <si>
    <t>2.2</t>
  </si>
  <si>
    <t>2.3</t>
  </si>
  <si>
    <t>QUANTIDADE</t>
  </si>
  <si>
    <t>Uniformes</t>
  </si>
  <si>
    <t>Descrição</t>
  </si>
  <si>
    <t>Quant.</t>
  </si>
  <si>
    <t>Valor Unit.</t>
  </si>
  <si>
    <t>Valor Total</t>
  </si>
  <si>
    <t>Custo Mensal</t>
  </si>
  <si>
    <t>Item</t>
  </si>
  <si>
    <t>Discriminação</t>
  </si>
  <si>
    <t>*Qtd.</t>
  </si>
  <si>
    <t>Vida Útil</t>
  </si>
  <si>
    <t>Valor Mensal</t>
  </si>
  <si>
    <t>Total Mensal</t>
  </si>
  <si>
    <t>Qtd.</t>
  </si>
  <si>
    <t>Equipamentos</t>
  </si>
  <si>
    <t>VALOR TOTAL (Anual)</t>
  </si>
  <si>
    <t>Total por Colaborador</t>
  </si>
  <si>
    <t>Unidade.</t>
  </si>
  <si>
    <t>Camisa</t>
  </si>
  <si>
    <t>Calça</t>
  </si>
  <si>
    <t>Valor Total (12 meses)</t>
  </si>
  <si>
    <t xml:space="preserve">Transporte </t>
  </si>
  <si>
    <t>TOTAL MATERIAIS</t>
  </si>
  <si>
    <t xml:space="preserve">Serviço de Limpeza </t>
  </si>
  <si>
    <t>Serviços de Higienização e Limpeza</t>
  </si>
  <si>
    <r>
      <t>N</t>
    </r>
    <r>
      <rPr>
        <strike/>
        <sz val="10"/>
        <rFont val="Calibri"/>
        <family val="2"/>
        <scheme val="minor"/>
      </rPr>
      <t>º</t>
    </r>
    <r>
      <rPr>
        <sz val="10"/>
        <rFont val="Calibri"/>
        <family val="2"/>
        <scheme val="minor"/>
      </rPr>
      <t xml:space="preserve"> de meses de execução contratual</t>
    </r>
  </si>
  <si>
    <t>DÉCIMO TERCEIRO SALÁRIO, FÉRIAS E ADICIONAL DE FÉRIAS</t>
  </si>
  <si>
    <t xml:space="preserve">Base de cálculo: De acordo com a instrução normativa nº 05/2017 anexo VII nota 3, a base de cálculo neste módulo deverá ser a soma: MÓDULO 1 + SUBMÓDULO 2.1. </t>
  </si>
  <si>
    <t>Inss</t>
  </si>
  <si>
    <t>Sesi ou Sesc</t>
  </si>
  <si>
    <t xml:space="preserve">Incra </t>
  </si>
  <si>
    <t xml:space="preserve">Fgts </t>
  </si>
  <si>
    <t>RAT X SAT (Conforme GFIP)</t>
  </si>
  <si>
    <t xml:space="preserve">Sebrae </t>
  </si>
  <si>
    <t xml:space="preserve">BENEFÍCIOS MENSAIS E DIÁRIOS </t>
  </si>
  <si>
    <t>Assistência médica e familiar</t>
  </si>
  <si>
    <t xml:space="preserve">Auxílio creche </t>
  </si>
  <si>
    <t xml:space="preserve">Seguro de vida </t>
  </si>
  <si>
    <t xml:space="preserve"> Quadro-resumo do módulo 2-ENCARGOS E BENEFÍCIOS ANUAIS, MENSAIS E DIÁRIOS</t>
  </si>
  <si>
    <t>13º SALÁRIO, FÉRIAS E ADICIONAL DE FÉRIAS</t>
  </si>
  <si>
    <t>GPS, FGTS E OUTRAS CONTRIBUIÇÕES</t>
  </si>
  <si>
    <t>BENEFÍCIOS DIÁRIOS E MENSAIS</t>
  </si>
  <si>
    <t xml:space="preserve"> MÓDULO 3: PROVISÃO PARA RESCISÃO</t>
  </si>
  <si>
    <t>3.0</t>
  </si>
  <si>
    <t>Aviso Prévio Indenizado</t>
  </si>
  <si>
    <t>Incidência do FGTS sobre Aviso Prévio Indenizado</t>
  </si>
  <si>
    <t>Multa do FGTS e Contribuição Social sobre o Aviso Prévio Indenizado</t>
  </si>
  <si>
    <t>Incidência dos encargos do submódulo 2.2 sobre Aviso Prévio Trabalhado</t>
  </si>
  <si>
    <t xml:space="preserve">Multa do FGTS e Contribuição Social sobre o Aviso Prévio Trabalhado. </t>
  </si>
  <si>
    <t>MÓDULO 4 – CUSTO DE REPOSIÇÃO DO PROFISSIONAL AUSENTE</t>
  </si>
  <si>
    <t>Submódulo 4.1 - Ausências Legais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</si>
  <si>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</si>
  <si>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</si>
  <si>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</si>
  <si>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</si>
  <si>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TOTAL DO SUBMÓDULO 4.1</t>
  </si>
  <si>
    <t>Submódulo 4.2 - Intrajornada</t>
  </si>
  <si>
    <t>Intervalo para Repouso ou Alimentação</t>
  </si>
  <si>
    <t xml:space="preserve"> QUADRO-RESUMO DO MÓDULO 4 - CUSTO DE REPOSIÇÃO DO PROFISSIONAL AUSENTE</t>
  </si>
  <si>
    <t>TOTAL DO MÓDULO 4</t>
  </si>
  <si>
    <t xml:space="preserve"> MÓDULO 5 – INSUMOS DIVERSOS</t>
  </si>
  <si>
    <t>INSUMOS DIVERSOS</t>
  </si>
  <si>
    <t>Materiais</t>
  </si>
  <si>
    <t>TOTAL DO MÓDULO 5</t>
  </si>
  <si>
    <t xml:space="preserve">MÓDULO 6 – CUSTOS INDIRETOS, TRIBUTOS E LUCRO 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</si>
  <si>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</si>
  <si>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</si>
  <si>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</si>
  <si>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</si>
  <si>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 xml:space="preserve">Auxílio alimentação </t>
  </si>
  <si>
    <t>Uniformes e EPIs</t>
  </si>
  <si>
    <t xml:space="preserve">C1-A  (PIS 1,65%)   </t>
  </si>
  <si>
    <t>C1. B  (COFINS 7,60%)</t>
  </si>
  <si>
    <t>Substituto na Cobertura de Férias (1/12 avos)</t>
  </si>
  <si>
    <t>Férias (8,33%) e Adicional de Férias (TR x 2,78%)</t>
  </si>
  <si>
    <t>Adicional de Insalubridade</t>
  </si>
  <si>
    <t>Adicional de Hora Noturna Reduzida</t>
  </si>
  <si>
    <t>Valor Total:</t>
  </si>
  <si>
    <t>Outros  (Especificar)</t>
  </si>
  <si>
    <t>TOTAL EQUIPAMENTOS</t>
  </si>
  <si>
    <t>(M-T)      CUSTO TOTAL DA PLANILHA PARA EFEITO DE CÁLCULO DO MÓDULO 6 (M1+M2+M3+M4+M5)</t>
  </si>
  <si>
    <t>Água sanitária alvejante, desinfetante, germicida e bactericida.</t>
  </si>
  <si>
    <t>Álcool hidratado em gel</t>
  </si>
  <si>
    <t>Litro</t>
  </si>
  <si>
    <t>Frasco</t>
  </si>
  <si>
    <t>Desinfetante liquido concentrado</t>
  </si>
  <si>
    <t xml:space="preserve">Detergente liquido </t>
  </si>
  <si>
    <t>Palha de aço para limpeza, pacote contendo 14 embalagens com 08 unidades cada</t>
  </si>
  <si>
    <t>Esponja de limpeza med. 110mm x 75mm x 20mm</t>
  </si>
  <si>
    <t xml:space="preserve">Flanela de primeira qualidade para limpeza </t>
  </si>
  <si>
    <t>Pacote</t>
  </si>
  <si>
    <t>Unid.</t>
  </si>
  <si>
    <t xml:space="preserve">Limpa vidros </t>
  </si>
  <si>
    <t xml:space="preserve">Pano de chão </t>
  </si>
  <si>
    <t>Papel Higiênico em fardos com 16 pct. com 04 rolos cada</t>
  </si>
  <si>
    <t xml:space="preserve">Toalha de papel 23cm x 23cm (529 cm 2 por folha) pct c/ 250 folhas </t>
  </si>
  <si>
    <t>Fardo</t>
  </si>
  <si>
    <t>Sabão em pó caixa 900g</t>
  </si>
  <si>
    <t xml:space="preserve">Sabonete liquido concentrado </t>
  </si>
  <si>
    <t>Cotação 1</t>
  </si>
  <si>
    <t>Cotação 2</t>
  </si>
  <si>
    <t>Cotação 3</t>
  </si>
  <si>
    <t>Cotação 4</t>
  </si>
  <si>
    <t>Valor médio</t>
  </si>
  <si>
    <t xml:space="preserve">Esfregão </t>
  </si>
  <si>
    <t>Rodo grande c/ cabo em madeira plastificado 40 cm</t>
  </si>
  <si>
    <t xml:space="preserve">Vassoura de pelo c/ cabo </t>
  </si>
  <si>
    <t>Vassoura de talos plásticos</t>
  </si>
  <si>
    <t>Escova p/ vaso sanitário</t>
  </si>
  <si>
    <t xml:space="preserve">Balde médio plástico com capacidade 15 litros </t>
  </si>
  <si>
    <t xml:space="preserve">Cesto de lixo telado (15 litros) </t>
  </si>
  <si>
    <t xml:space="preserve">Tambor para lixo (100 litros) </t>
  </si>
  <si>
    <t>Pá grande com cabo para lixo</t>
  </si>
  <si>
    <t>Escada portátil com alcance mínimo de 30m altura (limpeza de luminárias)</t>
  </si>
  <si>
    <t xml:space="preserve">Mangueira Cristal para jardim de 100 mts </t>
  </si>
  <si>
    <t>Carrinho de Mão</t>
  </si>
  <si>
    <t>Rastelo</t>
  </si>
  <si>
    <t xml:space="preserve">Enxada </t>
  </si>
  <si>
    <t>Conjunto de limpeza de vidros</t>
  </si>
  <si>
    <t>Facão</t>
  </si>
  <si>
    <t>Jato de pressão, para lavagens de ambiente externo</t>
  </si>
  <si>
    <t>CBO (5143­20) Auxiliar de Limpeza - SEM INSALUBRIDADE</t>
  </si>
  <si>
    <t>RO000005/2023</t>
  </si>
  <si>
    <t>Outros (especificar)</t>
  </si>
  <si>
    <t xml:space="preserve">Senai ou Senac </t>
  </si>
  <si>
    <t xml:space="preserve">Salário Educação </t>
  </si>
  <si>
    <t>out/2023</t>
  </si>
  <si>
    <t>Subtotal  para   efeito  de  cálculo  do s Tributos  (MT + MA + MB) FATURAMENTO [(100-14,25)/100]</t>
  </si>
  <si>
    <t xml:space="preserve">C3-A (ISS 5,00%) </t>
  </si>
  <si>
    <t>Crachá</t>
  </si>
  <si>
    <t>Pct</t>
  </si>
  <si>
    <t>Saco para lixo de 30 litros (Pct com 100 unidades)</t>
  </si>
  <si>
    <t>Saco para lixo 100 litros (Pct com 100 unidades)</t>
  </si>
  <si>
    <t>Banco de preços</t>
  </si>
  <si>
    <t>POSTO</t>
  </si>
  <si>
    <t>Servente de limpeza com insalubridade</t>
  </si>
  <si>
    <t xml:space="preserve">Férias  e Adicional de Férias </t>
  </si>
  <si>
    <t xml:space="preserve">VALOR UNT </t>
  </si>
  <si>
    <t>Kit limpeza</t>
  </si>
  <si>
    <t>CONTRATAÇÃO DE PRESTAÇÃO DE SERVIÇOS DE LIMPEZA, HIGIENIZAÇÃO E CONSERVAÇÃO, INCLUINDO A LIMPEZA DE BENS MÓVEIS COM O DEVIDO FORNECIMENTO DE MÃO DE OBRA, MATERIAIS E DEMAIS EQUIPAMENTOS NECESSÁRIOS PARA DESEMPENHAR OS SERVIÇOS A SEREM EXECUTADOS NAS DEPENDÊNCIAS DA SEDE DA AGÊNCIA DE REGULAÇÃO DE SERVIÇOS PÚBLICOS DELEGADOS DO ESTADO DE RONDÔNIA - AGERO.</t>
  </si>
  <si>
    <t>Multa sobre FGTS e Contribuição Social sobre o Aviso Prévio Indenizado e sobre o Aviso Prévio Trabalhado. (Alterado Conf. Lei nº 13.932/2019)</t>
  </si>
  <si>
    <t>Bota de borracha antiaderente</t>
  </si>
  <si>
    <t xml:space="preserve">Meia </t>
  </si>
  <si>
    <t>RO000003/2025</t>
  </si>
  <si>
    <t>MARÇO/2025</t>
  </si>
  <si>
    <t>Custos Indiretos (Conforme  Acórdão n. 408/2019 – TCU)</t>
  </si>
  <si>
    <t>Lucro (MT + M5.A) (Conforme  Acórdão n. 408/2019 – TCU)</t>
  </si>
  <si>
    <t>ESTIMATIVA DE MATERIAIS PARA CONSUMO BIMESTRAL</t>
  </si>
  <si>
    <t>ESTIMATIVA DE MATERIAIS PARA CONSUMO SEMESTRAL</t>
  </si>
  <si>
    <t>ESTIMATIVA DE MATERIAIS PARA CONSUMO ANUAL</t>
  </si>
  <si>
    <t>EQUIPAMENTOS</t>
  </si>
  <si>
    <t>COTAÇÃO BANCO DE PREÇOS</t>
  </si>
  <si>
    <t>Transporte  (Decreto Nº 20846 DE 17/03/2025)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</si>
</sst>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_(&quot;R$ &quot;* #,##0.00_);_(&quot;R$ &quot;* \(#,##0.00\);_(&quot;R$ &quot;* &quot;-&quot;??_);_(@_)"/>
    <numFmt numFmtId="166" formatCode="&quot;R$&quot;\ #,##0.00"/>
    <numFmt numFmtId="167" formatCode="0.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rgb="FF000000"/>
      <name val="Verdana"/>
      <family val="2"/>
    </font>
    <font>
      <b/>
      <sz val="16"/>
      <color rgb="FF00206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rgb="FFFF0000"/>
      <name val="Verdana"/>
      <family val="2"/>
    </font>
    <font>
      <sz val="14"/>
      <color rgb="FF000000"/>
      <name val="Times New Roman"/>
      <family val="1"/>
    </font>
    <font>
      <sz val="10"/>
      <color rgb="FF000000"/>
      <name val="Verdana"/>
      <family val="2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indexed="10"/>
      <name val="Arial"/>
      <family val="2"/>
    </font>
    <font>
      <b/>
      <sz val="14"/>
      <color indexed="48"/>
      <name val="Trebuchet MS"/>
      <family val="2"/>
    </font>
    <font>
      <b/>
      <sz val="14"/>
      <color indexed="10"/>
      <name val="Trebuchet MS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name val="Arial"/>
      <family val="2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284">
    <xf numFmtId="0" fontId="0" fillId="0" borderId="0" xfId="0"/>
    <xf numFmtId="0" fontId="5" fillId="2" borderId="16" xfId="0" applyFont="1" applyFill="1" applyBorder="1" applyAlignment="1">
      <alignment wrapText="1"/>
    </xf>
    <xf numFmtId="0" fontId="5" fillId="2" borderId="17" xfId="0" applyFont="1" applyFill="1" applyBorder="1" applyAlignment="1">
      <alignment horizontal="center" wrapText="1"/>
    </xf>
    <xf numFmtId="0" fontId="7" fillId="0" borderId="0" xfId="0" applyFont="1" applyAlignment="1">
      <alignment horizontal="justify"/>
    </xf>
    <xf numFmtId="0" fontId="8" fillId="2" borderId="17" xfId="0" applyFont="1" applyFill="1" applyBorder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11" fillId="2" borderId="17" xfId="0" applyFont="1" applyFill="1" applyBorder="1" applyAlignment="1">
      <alignment horizontal="center" wrapText="1"/>
    </xf>
    <xf numFmtId="0" fontId="8" fillId="2" borderId="17" xfId="0" applyFont="1" applyFill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6" xfId="0" applyBorder="1"/>
    <xf numFmtId="0" fontId="8" fillId="2" borderId="18" xfId="0" applyFont="1" applyFill="1" applyBorder="1" applyAlignment="1">
      <alignment horizontal="center" wrapText="1"/>
    </xf>
    <xf numFmtId="0" fontId="0" fillId="0" borderId="17" xfId="0" applyBorder="1"/>
    <xf numFmtId="0" fontId="0" fillId="0" borderId="17" xfId="0" applyBorder="1" applyAlignment="1">
      <alignment horizontal="center"/>
    </xf>
    <xf numFmtId="0" fontId="0" fillId="3" borderId="17" xfId="0" applyFill="1" applyBorder="1"/>
    <xf numFmtId="0" fontId="0" fillId="3" borderId="17" xfId="0" applyFill="1" applyBorder="1" applyAlignment="1">
      <alignment horizontal="center"/>
    </xf>
    <xf numFmtId="0" fontId="0" fillId="0" borderId="18" xfId="0" applyBorder="1"/>
    <xf numFmtId="0" fontId="4" fillId="0" borderId="0" xfId="6" applyAlignment="1" applyProtection="1"/>
    <xf numFmtId="0" fontId="15" fillId="0" borderId="0" xfId="0" applyFont="1" applyAlignment="1">
      <alignment horizontal="center" wrapText="1"/>
    </xf>
    <xf numFmtId="0" fontId="2" fillId="0" borderId="0" xfId="0" applyFont="1"/>
    <xf numFmtId="0" fontId="7" fillId="0" borderId="0" xfId="0" applyFont="1"/>
    <xf numFmtId="0" fontId="17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justify" vertical="center" wrapText="1"/>
    </xf>
    <xf numFmtId="0" fontId="18" fillId="0" borderId="21" xfId="0" applyFont="1" applyBorder="1" applyAlignment="1">
      <alignment horizontal="justify" vertical="center" wrapText="1"/>
    </xf>
    <xf numFmtId="0" fontId="18" fillId="0" borderId="14" xfId="0" applyFont="1" applyBorder="1" applyAlignment="1">
      <alignment horizontal="justify" vertical="center" wrapText="1"/>
    </xf>
    <xf numFmtId="0" fontId="18" fillId="0" borderId="13" xfId="0" applyFont="1" applyBorder="1" applyAlignment="1">
      <alignment horizontal="justify" vertical="center" wrapText="1"/>
    </xf>
    <xf numFmtId="0" fontId="18" fillId="0" borderId="22" xfId="0" applyFont="1" applyBorder="1" applyAlignment="1">
      <alignment horizontal="justify" vertical="center" wrapText="1"/>
    </xf>
    <xf numFmtId="0" fontId="18" fillId="0" borderId="23" xfId="0" applyFont="1" applyBorder="1" applyAlignment="1">
      <alignment horizontal="justify" vertical="center" wrapText="1"/>
    </xf>
    <xf numFmtId="0" fontId="19" fillId="2" borderId="0" xfId="0" applyFont="1" applyFill="1" applyAlignment="1">
      <alignment vertical="center"/>
    </xf>
    <xf numFmtId="0" fontId="19" fillId="2" borderId="0" xfId="0" applyFont="1" applyFill="1" applyAlignment="1">
      <alignment horizontal="justify" vertical="center"/>
    </xf>
    <xf numFmtId="0" fontId="19" fillId="2" borderId="0" xfId="0" applyFont="1" applyFill="1" applyAlignment="1">
      <alignment horizontal="center" vertical="center"/>
    </xf>
    <xf numFmtId="4" fontId="19" fillId="2" borderId="0" xfId="0" applyNumberFormat="1" applyFont="1" applyFill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43" fontId="22" fillId="0" borderId="0" xfId="7" applyFont="1" applyAlignment="1">
      <alignment horizontal="right" vertical="center"/>
    </xf>
    <xf numFmtId="43" fontId="22" fillId="0" borderId="0" xfId="7" applyFont="1" applyAlignment="1">
      <alignment vertical="center"/>
    </xf>
    <xf numFmtId="43" fontId="19" fillId="0" borderId="0" xfId="7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4" fontId="19" fillId="0" borderId="0" xfId="0" applyNumberFormat="1" applyFont="1" applyAlignment="1">
      <alignment vertical="center"/>
    </xf>
    <xf numFmtId="43" fontId="19" fillId="4" borderId="0" xfId="7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vertical="center"/>
    </xf>
    <xf numFmtId="0" fontId="26" fillId="2" borderId="29" xfId="0" applyFont="1" applyFill="1" applyBorder="1" applyAlignment="1">
      <alignment horizontal="center" vertical="center"/>
    </xf>
    <xf numFmtId="0" fontId="26" fillId="2" borderId="4" xfId="3" applyFont="1" applyFill="1" applyBorder="1" applyAlignment="1">
      <alignment horizontal="right" vertical="center" wrapText="1"/>
    </xf>
    <xf numFmtId="4" fontId="25" fillId="2" borderId="27" xfId="5" applyNumberFormat="1" applyFont="1" applyFill="1" applyBorder="1" applyAlignment="1">
      <alignment horizontal="center" vertical="center" wrapText="1"/>
    </xf>
    <xf numFmtId="0" fontId="26" fillId="2" borderId="4" xfId="4" applyFont="1" applyFill="1" applyBorder="1" applyAlignment="1">
      <alignment horizontal="justify" vertical="center" wrapText="1"/>
    </xf>
    <xf numFmtId="4" fontId="25" fillId="2" borderId="1" xfId="2" applyNumberFormat="1" applyFont="1" applyFill="1" applyBorder="1" applyAlignment="1">
      <alignment vertical="center"/>
    </xf>
    <xf numFmtId="4" fontId="25" fillId="2" borderId="2" xfId="2" applyNumberFormat="1" applyFont="1" applyFill="1" applyBorder="1" applyAlignment="1">
      <alignment vertical="center"/>
    </xf>
    <xf numFmtId="44" fontId="25" fillId="2" borderId="28" xfId="1" applyFont="1" applyFill="1" applyBorder="1" applyAlignment="1">
      <alignment horizontal="right" vertical="center" wrapText="1"/>
    </xf>
    <xf numFmtId="0" fontId="26" fillId="2" borderId="4" xfId="0" applyFont="1" applyFill="1" applyBorder="1" applyAlignment="1">
      <alignment horizontal="justify" vertical="center"/>
    </xf>
    <xf numFmtId="4" fontId="25" fillId="2" borderId="27" xfId="0" applyNumberFormat="1" applyFont="1" applyFill="1" applyBorder="1" applyAlignment="1">
      <alignment vertical="center"/>
    </xf>
    <xf numFmtId="0" fontId="25" fillId="2" borderId="29" xfId="5" applyFont="1" applyFill="1" applyBorder="1" applyAlignment="1">
      <alignment horizontal="center" vertical="center" wrapText="1"/>
    </xf>
    <xf numFmtId="4" fontId="25" fillId="2" borderId="27" xfId="5" applyNumberFormat="1" applyFont="1" applyFill="1" applyBorder="1" applyAlignment="1">
      <alignment vertical="center" wrapText="1"/>
    </xf>
    <xf numFmtId="0" fontId="26" fillId="2" borderId="29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vertical="center"/>
    </xf>
    <xf numFmtId="4" fontId="25" fillId="2" borderId="27" xfId="0" applyNumberFormat="1" applyFont="1" applyFill="1" applyBorder="1" applyAlignment="1">
      <alignment horizontal="right" vertical="center"/>
    </xf>
    <xf numFmtId="4" fontId="25" fillId="2" borderId="27" xfId="0" quotePrefix="1" applyNumberFormat="1" applyFont="1" applyFill="1" applyBorder="1" applyAlignment="1">
      <alignment vertical="center"/>
    </xf>
    <xf numFmtId="0" fontId="26" fillId="2" borderId="0" xfId="0" applyFont="1" applyFill="1" applyAlignment="1">
      <alignment vertical="center"/>
    </xf>
    <xf numFmtId="0" fontId="26" fillId="2" borderId="4" xfId="5" applyFont="1" applyFill="1" applyBorder="1" applyAlignment="1">
      <alignment vertical="center" wrapText="1"/>
    </xf>
    <xf numFmtId="0" fontId="26" fillId="2" borderId="29" xfId="5" applyFont="1" applyFill="1" applyBorder="1" applyAlignment="1">
      <alignment horizontal="center" vertical="center" wrapText="1"/>
    </xf>
    <xf numFmtId="0" fontId="25" fillId="2" borderId="4" xfId="5" applyFont="1" applyFill="1" applyBorder="1" applyAlignment="1">
      <alignment vertical="center" wrapText="1"/>
    </xf>
    <xf numFmtId="10" fontId="25" fillId="2" borderId="4" xfId="2" applyNumberFormat="1" applyFont="1" applyFill="1" applyBorder="1" applyAlignment="1">
      <alignment vertical="center"/>
    </xf>
    <xf numFmtId="0" fontId="25" fillId="2" borderId="4" xfId="0" applyFont="1" applyFill="1" applyBorder="1" applyAlignment="1">
      <alignment vertical="center"/>
    </xf>
    <xf numFmtId="4" fontId="25" fillId="2" borderId="27" xfId="0" quotePrefix="1" applyNumberFormat="1" applyFont="1" applyFill="1" applyBorder="1" applyAlignment="1">
      <alignment horizontal="right" vertical="center"/>
    </xf>
    <xf numFmtId="164" fontId="25" fillId="2" borderId="4" xfId="2" applyNumberFormat="1" applyFont="1" applyFill="1" applyBorder="1" applyAlignment="1">
      <alignment vertical="center"/>
    </xf>
    <xf numFmtId="0" fontId="25" fillId="2" borderId="0" xfId="0" applyFont="1" applyFill="1" applyAlignment="1">
      <alignment vertical="center"/>
    </xf>
    <xf numFmtId="0" fontId="25" fillId="2" borderId="1" xfId="5" applyFont="1" applyFill="1" applyBorder="1" applyAlignment="1">
      <alignment horizontal="left" vertical="center" wrapText="1"/>
    </xf>
    <xf numFmtId="4" fontId="25" fillId="2" borderId="27" xfId="1" applyNumberFormat="1" applyFont="1" applyFill="1" applyBorder="1" applyAlignment="1">
      <alignment horizontal="right" vertical="center"/>
    </xf>
    <xf numFmtId="0" fontId="25" fillId="2" borderId="5" xfId="5" applyFont="1" applyFill="1" applyBorder="1" applyAlignment="1">
      <alignment horizontal="left" vertical="center" wrapText="1"/>
    </xf>
    <xf numFmtId="0" fontId="25" fillId="2" borderId="6" xfId="5" applyFont="1" applyFill="1" applyBorder="1" applyAlignment="1">
      <alignment horizontal="left" vertical="center" wrapText="1"/>
    </xf>
    <xf numFmtId="0" fontId="25" fillId="2" borderId="9" xfId="5" applyFont="1" applyFill="1" applyBorder="1" applyAlignment="1">
      <alignment horizontal="left" vertical="center" wrapText="1"/>
    </xf>
    <xf numFmtId="0" fontId="26" fillId="2" borderId="1" xfId="5" applyFont="1" applyFill="1" applyBorder="1" applyAlignment="1">
      <alignment vertical="center" wrapText="1"/>
    </xf>
    <xf numFmtId="0" fontId="25" fillId="2" borderId="2" xfId="0" applyFont="1" applyFill="1" applyBorder="1" applyAlignment="1">
      <alignment horizontal="justify" vertical="center"/>
    </xf>
    <xf numFmtId="0" fontId="25" fillId="2" borderId="1" xfId="5" applyFont="1" applyFill="1" applyBorder="1" applyAlignment="1">
      <alignment vertical="center"/>
    </xf>
    <xf numFmtId="0" fontId="26" fillId="2" borderId="2" xfId="5" applyFont="1" applyFill="1" applyBorder="1" applyAlignment="1">
      <alignment vertical="center"/>
    </xf>
    <xf numFmtId="0" fontId="26" fillId="2" borderId="4" xfId="5" applyFont="1" applyFill="1" applyBorder="1" applyAlignment="1">
      <alignment vertical="center"/>
    </xf>
    <xf numFmtId="0" fontId="26" fillId="2" borderId="5" xfId="5" applyFont="1" applyFill="1" applyBorder="1" applyAlignment="1">
      <alignment vertical="center" wrapText="1"/>
    </xf>
    <xf numFmtId="0" fontId="25" fillId="2" borderId="6" xfId="0" applyFont="1" applyFill="1" applyBorder="1" applyAlignment="1">
      <alignment horizontal="justify" vertical="center"/>
    </xf>
    <xf numFmtId="10" fontId="25" fillId="2" borderId="15" xfId="2" applyNumberFormat="1" applyFont="1" applyFill="1" applyBorder="1" applyAlignment="1">
      <alignment vertical="center"/>
    </xf>
    <xf numFmtId="4" fontId="25" fillId="2" borderId="34" xfId="0" applyNumberFormat="1" applyFont="1" applyFill="1" applyBorder="1" applyAlignment="1">
      <alignment vertical="center"/>
    </xf>
    <xf numFmtId="0" fontId="25" fillId="2" borderId="10" xfId="5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vertical="center"/>
    </xf>
    <xf numFmtId="10" fontId="25" fillId="2" borderId="11" xfId="0" applyNumberFormat="1" applyFont="1" applyFill="1" applyBorder="1" applyAlignment="1">
      <alignment vertical="center"/>
    </xf>
    <xf numFmtId="4" fontId="25" fillId="2" borderId="12" xfId="0" applyNumberFormat="1" applyFont="1" applyFill="1" applyBorder="1" applyAlignment="1">
      <alignment vertical="center"/>
    </xf>
    <xf numFmtId="0" fontId="26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justify" vertical="center"/>
    </xf>
    <xf numFmtId="4" fontId="26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vertical="center"/>
    </xf>
    <xf numFmtId="0" fontId="29" fillId="2" borderId="0" xfId="0" applyFont="1" applyFill="1" applyAlignment="1">
      <alignment horizontal="justify" vertical="center"/>
    </xf>
    <xf numFmtId="4" fontId="29" fillId="2" borderId="0" xfId="0" applyNumberFormat="1" applyFont="1" applyFill="1" applyAlignment="1">
      <alignment horizontal="justify" vertical="center"/>
    </xf>
    <xf numFmtId="4" fontId="25" fillId="6" borderId="27" xfId="0" applyNumberFormat="1" applyFont="1" applyFill="1" applyBorder="1" applyAlignment="1">
      <alignment vertical="center"/>
    </xf>
    <xf numFmtId="10" fontId="25" fillId="6" borderId="4" xfId="2" applyNumberFormat="1" applyFont="1" applyFill="1" applyBorder="1" applyAlignment="1">
      <alignment vertical="center"/>
    </xf>
    <xf numFmtId="164" fontId="25" fillId="6" borderId="4" xfId="2" applyNumberFormat="1" applyFont="1" applyFill="1" applyBorder="1" applyAlignment="1">
      <alignment vertical="center"/>
    </xf>
    <xf numFmtId="10" fontId="25" fillId="6" borderId="4" xfId="5" applyNumberFormat="1" applyFont="1" applyFill="1" applyBorder="1" applyAlignment="1">
      <alignment vertical="center" wrapText="1"/>
    </xf>
    <xf numFmtId="4" fontId="25" fillId="6" borderId="25" xfId="0" applyNumberFormat="1" applyFont="1" applyFill="1" applyBorder="1" applyAlignment="1">
      <alignment vertical="center"/>
    </xf>
    <xf numFmtId="4" fontId="25" fillId="6" borderId="38" xfId="0" applyNumberFormat="1" applyFont="1" applyFill="1" applyBorder="1" applyAlignment="1">
      <alignment vertical="center"/>
    </xf>
    <xf numFmtId="0" fontId="26" fillId="2" borderId="4" xfId="4" applyFont="1" applyFill="1" applyBorder="1" applyAlignment="1">
      <alignment horizontal="justify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44" fontId="20" fillId="0" borderId="4" xfId="0" applyNumberFormat="1" applyFont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vertical="center" wrapText="1"/>
    </xf>
    <xf numFmtId="0" fontId="26" fillId="0" borderId="29" xfId="5" applyFont="1" applyBorder="1" applyAlignment="1">
      <alignment horizontal="center" vertical="center" wrapText="1"/>
    </xf>
    <xf numFmtId="10" fontId="25" fillId="0" borderId="4" xfId="2" applyNumberFormat="1" applyFont="1" applyFill="1" applyBorder="1" applyAlignment="1">
      <alignment vertical="center"/>
    </xf>
    <xf numFmtId="4" fontId="25" fillId="0" borderId="27" xfId="0" applyNumberFormat="1" applyFont="1" applyBorder="1" applyAlignment="1">
      <alignment vertical="center"/>
    </xf>
    <xf numFmtId="0" fontId="22" fillId="3" borderId="0" xfId="0" applyFont="1" applyFill="1" applyAlignment="1">
      <alignment vertical="center"/>
    </xf>
    <xf numFmtId="4" fontId="0" fillId="0" borderId="0" xfId="0" applyNumberFormat="1"/>
    <xf numFmtId="2" fontId="0" fillId="0" borderId="0" xfId="0" applyNumberFormat="1"/>
    <xf numFmtId="9" fontId="25" fillId="2" borderId="4" xfId="2" applyFont="1" applyFill="1" applyBorder="1" applyAlignment="1">
      <alignment horizontal="left" vertical="center"/>
    </xf>
    <xf numFmtId="166" fontId="25" fillId="2" borderId="4" xfId="2" applyNumberFormat="1" applyFont="1" applyFill="1" applyBorder="1" applyAlignment="1">
      <alignment vertical="center"/>
    </xf>
    <xf numFmtId="166" fontId="25" fillId="2" borderId="0" xfId="0" applyNumberFormat="1" applyFont="1" applyFill="1" applyAlignment="1">
      <alignment horizontal="right" vertical="center"/>
    </xf>
    <xf numFmtId="166" fontId="25" fillId="2" borderId="4" xfId="2" applyNumberFormat="1" applyFont="1" applyFill="1" applyBorder="1" applyAlignment="1">
      <alignment horizontal="right" vertical="center"/>
    </xf>
    <xf numFmtId="164" fontId="25" fillId="2" borderId="4" xfId="2" applyNumberFormat="1" applyFont="1" applyFill="1" applyBorder="1" applyAlignment="1">
      <alignment horizontal="right" vertical="center"/>
    </xf>
    <xf numFmtId="9" fontId="25" fillId="2" borderId="4" xfId="2" applyFont="1" applyFill="1" applyBorder="1" applyAlignment="1">
      <alignment horizontal="right" vertical="center"/>
    </xf>
    <xf numFmtId="43" fontId="23" fillId="0" borderId="4" xfId="7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167" fontId="25" fillId="2" borderId="4" xfId="2" applyNumberFormat="1" applyFont="1" applyFill="1" applyBorder="1" applyAlignment="1">
      <alignment vertical="center"/>
    </xf>
    <xf numFmtId="0" fontId="23" fillId="0" borderId="4" xfId="0" applyFont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3" fontId="22" fillId="2" borderId="4" xfId="7" applyNumberFormat="1" applyFont="1" applyFill="1" applyBorder="1" applyAlignment="1">
      <alignment horizontal="center" vertical="center" wrapText="1"/>
    </xf>
    <xf numFmtId="166" fontId="22" fillId="2" borderId="4" xfId="7" applyNumberFormat="1" applyFont="1" applyFill="1" applyBorder="1" applyAlignment="1">
      <alignment horizontal="right" vertical="center"/>
    </xf>
    <xf numFmtId="43" fontId="22" fillId="2" borderId="4" xfId="7" applyFont="1" applyFill="1" applyBorder="1" applyAlignment="1">
      <alignment horizontal="right" vertical="center"/>
    </xf>
    <xf numFmtId="166" fontId="22" fillId="2" borderId="4" xfId="7" applyNumberFormat="1" applyFont="1" applyFill="1" applyBorder="1" applyAlignment="1">
      <alignment vertical="center"/>
    </xf>
    <xf numFmtId="0" fontId="22" fillId="2" borderId="0" xfId="0" applyFont="1" applyFill="1" applyAlignment="1">
      <alignment vertical="center"/>
    </xf>
    <xf numFmtId="166" fontId="23" fillId="2" borderId="4" xfId="7" applyNumberFormat="1" applyFont="1" applyFill="1" applyBorder="1" applyAlignment="1">
      <alignment vertical="center"/>
    </xf>
    <xf numFmtId="0" fontId="23" fillId="2" borderId="4" xfId="0" applyFont="1" applyFill="1" applyBorder="1" applyAlignment="1">
      <alignment horizontal="center" vertical="center" wrapText="1"/>
    </xf>
    <xf numFmtId="8" fontId="22" fillId="2" borderId="4" xfId="0" applyNumberFormat="1" applyFont="1" applyFill="1" applyBorder="1" applyAlignment="1">
      <alignment horizontal="right" vertical="center" wrapText="1"/>
    </xf>
    <xf numFmtId="0" fontId="22" fillId="2" borderId="4" xfId="0" applyFont="1" applyFill="1" applyBorder="1" applyAlignment="1">
      <alignment horizontal="right" vertical="center" wrapText="1"/>
    </xf>
    <xf numFmtId="8" fontId="23" fillId="2" borderId="4" xfId="0" applyNumberFormat="1" applyFont="1" applyFill="1" applyBorder="1" applyAlignment="1">
      <alignment horizontal="right" vertical="center" wrapText="1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left" vertical="center"/>
    </xf>
    <xf numFmtId="43" fontId="22" fillId="2" borderId="0" xfId="7" applyFont="1" applyFill="1" applyAlignment="1">
      <alignment horizontal="right" vertical="center"/>
    </xf>
    <xf numFmtId="43" fontId="22" fillId="2" borderId="0" xfId="7" applyFont="1" applyFill="1" applyAlignment="1">
      <alignment vertical="center"/>
    </xf>
    <xf numFmtId="166" fontId="22" fillId="4" borderId="4" xfId="7" applyNumberFormat="1" applyFont="1" applyFill="1" applyBorder="1" applyAlignment="1">
      <alignment horizontal="right" vertical="center"/>
    </xf>
    <xf numFmtId="0" fontId="23" fillId="2" borderId="0" xfId="0" applyFont="1" applyFill="1" applyAlignment="1">
      <alignment horizontal="right" vertical="center" wrapText="1"/>
    </xf>
    <xf numFmtId="166" fontId="23" fillId="2" borderId="0" xfId="7" applyNumberFormat="1" applyFont="1" applyFill="1" applyBorder="1" applyAlignment="1">
      <alignment vertical="center"/>
    </xf>
    <xf numFmtId="8" fontId="22" fillId="4" borderId="4" xfId="0" applyNumberFormat="1" applyFont="1" applyFill="1" applyBorder="1" applyAlignment="1">
      <alignment horizontal="right" vertical="center" wrapText="1"/>
    </xf>
    <xf numFmtId="166" fontId="23" fillId="4" borderId="4" xfId="7" applyNumberFormat="1" applyFont="1" applyFill="1" applyBorder="1" applyAlignment="1">
      <alignment vertical="center"/>
    </xf>
    <xf numFmtId="4" fontId="25" fillId="6" borderId="4" xfId="0" applyNumberFormat="1" applyFont="1" applyFill="1" applyBorder="1" applyAlignment="1">
      <alignment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vertical="center"/>
    </xf>
    <xf numFmtId="165" fontId="22" fillId="2" borderId="4" xfId="0" applyNumberFormat="1" applyFont="1" applyFill="1" applyBorder="1" applyAlignment="1">
      <alignment vertical="center"/>
    </xf>
    <xf numFmtId="166" fontId="22" fillId="2" borderId="1" xfId="7" applyNumberFormat="1" applyFont="1" applyFill="1" applyBorder="1" applyAlignment="1">
      <alignment vertical="center"/>
    </xf>
    <xf numFmtId="0" fontId="22" fillId="2" borderId="1" xfId="0" applyFont="1" applyFill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43" fontId="23" fillId="0" borderId="1" xfId="7" applyFont="1" applyBorder="1" applyAlignment="1">
      <alignment horizontal="center" vertical="center" wrapText="1"/>
    </xf>
    <xf numFmtId="4" fontId="19" fillId="0" borderId="0" xfId="0" applyNumberFormat="1" applyFont="1" applyAlignment="1">
      <alignment vertical="center"/>
    </xf>
    <xf numFmtId="0" fontId="22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center" vertical="center" wrapText="1"/>
    </xf>
    <xf numFmtId="166" fontId="23" fillId="6" borderId="4" xfId="0" applyNumberFormat="1" applyFont="1" applyFill="1" applyBorder="1" applyAlignment="1">
      <alignment vertical="center" wrapText="1"/>
    </xf>
    <xf numFmtId="4" fontId="25" fillId="0" borderId="12" xfId="0" applyNumberFormat="1" applyFont="1" applyBorder="1" applyAlignment="1">
      <alignment vertical="center"/>
    </xf>
    <xf numFmtId="166" fontId="23" fillId="3" borderId="1" xfId="7" applyNumberFormat="1" applyFont="1" applyFill="1" applyBorder="1" applyAlignment="1">
      <alignment vertical="center"/>
    </xf>
    <xf numFmtId="166" fontId="23" fillId="3" borderId="4" xfId="7" applyNumberFormat="1" applyFont="1" applyFill="1" applyBorder="1" applyAlignment="1">
      <alignment vertical="center"/>
    </xf>
    <xf numFmtId="0" fontId="23" fillId="7" borderId="4" xfId="0" applyFont="1" applyFill="1" applyBorder="1" applyAlignment="1">
      <alignment vertical="center" wrapText="1"/>
    </xf>
    <xf numFmtId="44" fontId="22" fillId="2" borderId="4" xfId="1" applyFont="1" applyFill="1" applyBorder="1" applyAlignment="1">
      <alignment vertical="center" wrapText="1"/>
    </xf>
    <xf numFmtId="3" fontId="22" fillId="2" borderId="4" xfId="0" applyNumberFormat="1" applyFont="1" applyFill="1" applyBorder="1" applyAlignment="1">
      <alignment horizontal="center" vertical="center" wrapText="1"/>
    </xf>
    <xf numFmtId="3" fontId="23" fillId="7" borderId="4" xfId="0" applyNumberFormat="1" applyFont="1" applyFill="1" applyBorder="1" applyAlignment="1">
      <alignment horizontal="center" vertical="center" wrapText="1"/>
    </xf>
    <xf numFmtId="8" fontId="23" fillId="3" borderId="4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12" fillId="0" borderId="0" xfId="0" applyFont="1" applyAlignment="1">
      <alignment horizontal="justify" wrapText="1"/>
    </xf>
    <xf numFmtId="0" fontId="16" fillId="0" borderId="19" xfId="0" applyFont="1" applyBorder="1" applyAlignment="1">
      <alignment horizontal="center" vertical="center" wrapText="1"/>
    </xf>
    <xf numFmtId="0" fontId="20" fillId="4" borderId="23" xfId="0" applyFont="1" applyFill="1" applyBorder="1" applyAlignment="1">
      <alignment horizontal="left" vertical="center" wrapText="1"/>
    </xf>
    <xf numFmtId="0" fontId="23" fillId="4" borderId="40" xfId="0" applyFont="1" applyFill="1" applyBorder="1" applyAlignment="1">
      <alignment horizontal="left" vertical="center" wrapText="1"/>
    </xf>
    <xf numFmtId="0" fontId="23" fillId="4" borderId="22" xfId="0" applyFont="1" applyFill="1" applyBorder="1" applyAlignment="1">
      <alignment horizontal="left" vertical="center" wrapText="1"/>
    </xf>
    <xf numFmtId="0" fontId="23" fillId="4" borderId="39" xfId="0" applyFont="1" applyFill="1" applyBorder="1" applyAlignment="1">
      <alignment horizontal="left" vertical="center" wrapText="1"/>
    </xf>
    <xf numFmtId="0" fontId="23" fillId="4" borderId="0" xfId="0" applyFont="1" applyFill="1" applyAlignment="1">
      <alignment horizontal="left" vertical="center" wrapText="1"/>
    </xf>
    <xf numFmtId="0" fontId="23" fillId="4" borderId="41" xfId="0" applyFont="1" applyFill="1" applyBorder="1" applyAlignment="1">
      <alignment horizontal="left" vertical="center" wrapText="1"/>
    </xf>
    <xf numFmtId="0" fontId="30" fillId="8" borderId="23" xfId="0" applyFont="1" applyFill="1" applyBorder="1" applyAlignment="1">
      <alignment horizontal="center" vertical="center" wrapText="1"/>
    </xf>
    <xf numFmtId="0" fontId="31" fillId="8" borderId="40" xfId="0" applyFont="1" applyFill="1" applyBorder="1" applyAlignment="1">
      <alignment horizontal="center" vertical="center" wrapText="1"/>
    </xf>
    <xf numFmtId="0" fontId="31" fillId="8" borderId="22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 wrapText="1"/>
    </xf>
    <xf numFmtId="0" fontId="25" fillId="2" borderId="26" xfId="5" applyFont="1" applyFill="1" applyBorder="1" applyAlignment="1">
      <alignment horizontal="center" vertical="center"/>
    </xf>
    <xf numFmtId="0" fontId="25" fillId="2" borderId="2" xfId="5" applyFont="1" applyFill="1" applyBorder="1" applyAlignment="1">
      <alignment horizontal="center" vertical="center"/>
    </xf>
    <xf numFmtId="0" fontId="25" fillId="2" borderId="28" xfId="5" applyFont="1" applyFill="1" applyBorder="1" applyAlignment="1">
      <alignment horizontal="center" vertical="center"/>
    </xf>
    <xf numFmtId="0" fontId="25" fillId="2" borderId="26" xfId="5" applyFont="1" applyFill="1" applyBorder="1" applyAlignment="1">
      <alignment horizontal="center" vertical="center" wrapText="1"/>
    </xf>
    <xf numFmtId="0" fontId="25" fillId="2" borderId="2" xfId="5" applyFont="1" applyFill="1" applyBorder="1" applyAlignment="1">
      <alignment horizontal="center" vertical="center" wrapText="1"/>
    </xf>
    <xf numFmtId="0" fontId="25" fillId="2" borderId="28" xfId="5" applyFont="1" applyFill="1" applyBorder="1" applyAlignment="1">
      <alignment horizontal="center" vertical="center" wrapText="1"/>
    </xf>
    <xf numFmtId="0" fontId="26" fillId="2" borderId="1" xfId="5" applyFont="1" applyFill="1" applyBorder="1" applyAlignment="1">
      <alignment horizontal="left" vertical="center" wrapText="1"/>
    </xf>
    <xf numFmtId="0" fontId="26" fillId="2" borderId="3" xfId="5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/>
    </xf>
    <xf numFmtId="0" fontId="26" fillId="2" borderId="3" xfId="0" applyFont="1" applyFill="1" applyBorder="1" applyAlignment="1">
      <alignment horizontal="left" vertical="center"/>
    </xf>
    <xf numFmtId="0" fontId="26" fillId="0" borderId="1" xfId="6" applyFont="1" applyFill="1" applyBorder="1" applyAlignment="1" applyProtection="1">
      <alignment horizontal="left" vertical="center"/>
    </xf>
    <xf numFmtId="0" fontId="26" fillId="0" borderId="3" xfId="6" applyFont="1" applyFill="1" applyBorder="1" applyAlignment="1" applyProtection="1">
      <alignment horizontal="left" vertical="center"/>
    </xf>
    <xf numFmtId="14" fontId="26" fillId="2" borderId="1" xfId="0" applyNumberFormat="1" applyFont="1" applyFill="1" applyBorder="1" applyAlignment="1">
      <alignment horizontal="right" vertical="center"/>
    </xf>
    <xf numFmtId="14" fontId="26" fillId="2" borderId="2" xfId="0" applyNumberFormat="1" applyFont="1" applyFill="1" applyBorder="1" applyAlignment="1">
      <alignment horizontal="right" vertical="center"/>
    </xf>
    <xf numFmtId="14" fontId="26" fillId="2" borderId="28" xfId="0" applyNumberFormat="1" applyFont="1" applyFill="1" applyBorder="1" applyAlignment="1">
      <alignment horizontal="right" vertical="center"/>
    </xf>
    <xf numFmtId="0" fontId="25" fillId="2" borderId="1" xfId="5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justify" vertical="center"/>
    </xf>
    <xf numFmtId="0" fontId="26" fillId="2" borderId="3" xfId="0" applyFont="1" applyFill="1" applyBorder="1" applyAlignment="1">
      <alignment horizontal="justify" vertical="center"/>
    </xf>
    <xf numFmtId="9" fontId="25" fillId="2" borderId="1" xfId="2" applyFont="1" applyFill="1" applyBorder="1" applyAlignment="1">
      <alignment horizontal="justify" vertical="center"/>
    </xf>
    <xf numFmtId="9" fontId="25" fillId="2" borderId="3" xfId="2" applyFont="1" applyFill="1" applyBorder="1" applyAlignment="1">
      <alignment horizontal="justify" vertical="center"/>
    </xf>
    <xf numFmtId="164" fontId="25" fillId="2" borderId="1" xfId="2" applyNumberFormat="1" applyFont="1" applyFill="1" applyBorder="1" applyAlignment="1">
      <alignment horizontal="justify" vertical="center"/>
    </xf>
    <xf numFmtId="164" fontId="25" fillId="2" borderId="3" xfId="2" applyNumberFormat="1" applyFont="1" applyFill="1" applyBorder="1" applyAlignment="1">
      <alignment horizontal="justify" vertical="center"/>
    </xf>
    <xf numFmtId="0" fontId="25" fillId="6" borderId="26" xfId="5" applyFont="1" applyFill="1" applyBorder="1" applyAlignment="1">
      <alignment horizontal="right" vertical="center" wrapText="1"/>
    </xf>
    <xf numFmtId="0" fontId="25" fillId="6" borderId="2" xfId="5" applyFont="1" applyFill="1" applyBorder="1" applyAlignment="1">
      <alignment horizontal="right" vertical="center" wrapText="1"/>
    </xf>
    <xf numFmtId="0" fontId="25" fillId="6" borderId="3" xfId="5" applyFont="1" applyFill="1" applyBorder="1" applyAlignment="1">
      <alignment horizontal="right" vertical="center" wrapText="1"/>
    </xf>
    <xf numFmtId="0" fontId="26" fillId="2" borderId="1" xfId="4" applyFont="1" applyFill="1" applyBorder="1" applyAlignment="1">
      <alignment horizontal="right" vertical="center" wrapText="1"/>
    </xf>
    <xf numFmtId="0" fontId="26" fillId="2" borderId="2" xfId="4" applyFont="1" applyFill="1" applyBorder="1" applyAlignment="1">
      <alignment horizontal="right" vertical="center" wrapText="1"/>
    </xf>
    <xf numFmtId="0" fontId="26" fillId="2" borderId="28" xfId="4" applyFont="1" applyFill="1" applyBorder="1" applyAlignment="1">
      <alignment horizontal="right" vertical="center" wrapText="1"/>
    </xf>
    <xf numFmtId="10" fontId="25" fillId="2" borderId="1" xfId="2" applyNumberFormat="1" applyFont="1" applyFill="1" applyBorder="1" applyAlignment="1">
      <alignment horizontal="right" vertical="center"/>
    </xf>
    <xf numFmtId="10" fontId="25" fillId="2" borderId="3" xfId="2" applyNumberFormat="1" applyFont="1" applyFill="1" applyBorder="1" applyAlignment="1">
      <alignment horizontal="right" vertical="center"/>
    </xf>
    <xf numFmtId="0" fontId="25" fillId="2" borderId="29" xfId="5" applyFont="1" applyFill="1" applyBorder="1" applyAlignment="1">
      <alignment horizontal="center" vertical="center" wrapText="1"/>
    </xf>
    <xf numFmtId="0" fontId="25" fillId="2" borderId="33" xfId="5" applyFont="1" applyFill="1" applyBorder="1" applyAlignment="1">
      <alignment horizontal="center" vertical="center" wrapText="1"/>
    </xf>
    <xf numFmtId="0" fontId="25" fillId="2" borderId="1" xfId="5" applyFont="1" applyFill="1" applyBorder="1" applyAlignment="1">
      <alignment vertical="top" wrapText="1"/>
    </xf>
    <xf numFmtId="0" fontId="25" fillId="2" borderId="3" xfId="5" applyFont="1" applyFill="1" applyBorder="1" applyAlignment="1">
      <alignment vertical="top" wrapText="1"/>
    </xf>
    <xf numFmtId="0" fontId="25" fillId="6" borderId="24" xfId="5" applyFont="1" applyFill="1" applyBorder="1" applyAlignment="1">
      <alignment horizontal="right" vertical="center" wrapText="1"/>
    </xf>
    <xf numFmtId="0" fontId="25" fillId="6" borderId="7" xfId="5" applyFont="1" applyFill="1" applyBorder="1" applyAlignment="1">
      <alignment horizontal="right" vertical="center" wrapText="1"/>
    </xf>
    <xf numFmtId="0" fontId="25" fillId="6" borderId="8" xfId="5" applyFont="1" applyFill="1" applyBorder="1" applyAlignment="1">
      <alignment horizontal="right" vertical="center" wrapText="1"/>
    </xf>
    <xf numFmtId="0" fontId="25" fillId="6" borderId="4" xfId="5" applyFont="1" applyFill="1" applyBorder="1" applyAlignment="1">
      <alignment horizontal="center" vertical="center" wrapText="1"/>
    </xf>
    <xf numFmtId="0" fontId="25" fillId="2" borderId="2" xfId="5" applyFont="1" applyFill="1" applyBorder="1" applyAlignment="1">
      <alignment horizontal="left" vertical="center" wrapText="1"/>
    </xf>
    <xf numFmtId="0" fontId="25" fillId="2" borderId="3" xfId="5" applyFont="1" applyFill="1" applyBorder="1" applyAlignment="1">
      <alignment horizontal="left" vertical="center" wrapText="1"/>
    </xf>
    <xf numFmtId="0" fontId="25" fillId="6" borderId="35" xfId="5" applyFont="1" applyFill="1" applyBorder="1" applyAlignment="1">
      <alignment horizontal="right" vertical="center" wrapText="1"/>
    </xf>
    <xf numFmtId="0" fontId="25" fillId="6" borderId="36" xfId="5" applyFont="1" applyFill="1" applyBorder="1" applyAlignment="1">
      <alignment horizontal="right" vertical="center" wrapText="1"/>
    </xf>
    <xf numFmtId="0" fontId="25" fillId="6" borderId="37" xfId="5" applyFont="1" applyFill="1" applyBorder="1" applyAlignment="1">
      <alignment horizontal="right" vertical="center" wrapText="1"/>
    </xf>
    <xf numFmtId="0" fontId="25" fillId="2" borderId="26" xfId="5" applyFont="1" applyFill="1" applyBorder="1" applyAlignment="1">
      <alignment horizontal="right" vertical="center" wrapText="1"/>
    </xf>
    <xf numFmtId="0" fontId="25" fillId="2" borderId="2" xfId="5" applyFont="1" applyFill="1" applyBorder="1" applyAlignment="1">
      <alignment horizontal="right" vertical="center" wrapText="1"/>
    </xf>
    <xf numFmtId="0" fontId="25" fillId="2" borderId="3" xfId="5" applyFont="1" applyFill="1" applyBorder="1" applyAlignment="1">
      <alignment horizontal="right" vertical="center" wrapText="1"/>
    </xf>
    <xf numFmtId="0" fontId="25" fillId="2" borderId="3" xfId="5" applyFont="1" applyFill="1" applyBorder="1" applyAlignment="1">
      <alignment horizontal="center" vertical="center" wrapText="1"/>
    </xf>
    <xf numFmtId="0" fontId="25" fillId="6" borderId="26" xfId="5" applyFont="1" applyFill="1" applyBorder="1" applyAlignment="1">
      <alignment horizontal="center" vertical="center" wrapText="1"/>
    </xf>
    <xf numFmtId="0" fontId="25" fillId="6" borderId="2" xfId="5" applyFont="1" applyFill="1" applyBorder="1" applyAlignment="1">
      <alignment horizontal="center" vertical="center" wrapText="1"/>
    </xf>
    <xf numFmtId="0" fontId="25" fillId="6" borderId="3" xfId="5" applyFont="1" applyFill="1" applyBorder="1" applyAlignment="1">
      <alignment horizontal="center" vertical="center" wrapText="1"/>
    </xf>
    <xf numFmtId="0" fontId="25" fillId="2" borderId="1" xfId="5" applyFont="1" applyFill="1" applyBorder="1" applyAlignment="1">
      <alignment horizontal="center" vertical="center"/>
    </xf>
    <xf numFmtId="0" fontId="25" fillId="2" borderId="3" xfId="5" applyFont="1" applyFill="1" applyBorder="1" applyAlignment="1">
      <alignment horizontal="center" vertical="center"/>
    </xf>
    <xf numFmtId="0" fontId="25" fillId="2" borderId="1" xfId="5" applyFont="1" applyFill="1" applyBorder="1" applyAlignment="1">
      <alignment horizontal="center" vertical="center" wrapText="1"/>
    </xf>
    <xf numFmtId="0" fontId="26" fillId="2" borderId="2" xfId="5" applyFont="1" applyFill="1" applyBorder="1" applyAlignment="1">
      <alignment horizontal="left" vertical="center" wrapText="1"/>
    </xf>
    <xf numFmtId="0" fontId="26" fillId="6" borderId="3" xfId="0" applyFont="1" applyFill="1" applyBorder="1" applyAlignment="1">
      <alignment horizontal="right" vertical="center" wrapText="1"/>
    </xf>
    <xf numFmtId="0" fontId="28" fillId="2" borderId="26" xfId="5" applyFont="1" applyFill="1" applyBorder="1" applyAlignment="1">
      <alignment horizontal="center" vertical="center" wrapText="1"/>
    </xf>
    <xf numFmtId="0" fontId="28" fillId="2" borderId="2" xfId="5" applyFont="1" applyFill="1" applyBorder="1" applyAlignment="1">
      <alignment horizontal="center" vertical="center" wrapText="1"/>
    </xf>
    <xf numFmtId="0" fontId="28" fillId="2" borderId="28" xfId="5" applyFont="1" applyFill="1" applyBorder="1" applyAlignment="1">
      <alignment horizontal="center" vertical="center" wrapText="1"/>
    </xf>
    <xf numFmtId="0" fontId="26" fillId="2" borderId="1" xfId="5" applyFont="1" applyFill="1" applyBorder="1" applyAlignment="1">
      <alignment vertical="center" wrapText="1"/>
    </xf>
    <xf numFmtId="0" fontId="26" fillId="2" borderId="2" xfId="0" applyFont="1" applyFill="1" applyBorder="1" applyAlignment="1">
      <alignment vertical="center" wrapText="1"/>
    </xf>
    <xf numFmtId="0" fontId="26" fillId="2" borderId="3" xfId="0" applyFont="1" applyFill="1" applyBorder="1" applyAlignment="1">
      <alignment vertical="center" wrapText="1"/>
    </xf>
    <xf numFmtId="0" fontId="26" fillId="2" borderId="2" xfId="5" applyFont="1" applyFill="1" applyBorder="1" applyAlignment="1">
      <alignment vertical="center" wrapText="1"/>
    </xf>
    <xf numFmtId="0" fontId="26" fillId="2" borderId="3" xfId="5" applyFont="1" applyFill="1" applyBorder="1" applyAlignment="1">
      <alignment vertical="center" wrapText="1"/>
    </xf>
    <xf numFmtId="0" fontId="21" fillId="4" borderId="13" xfId="3" applyFont="1" applyFill="1" applyBorder="1" applyAlignment="1">
      <alignment horizontal="center" vertical="center" wrapText="1"/>
    </xf>
    <xf numFmtId="0" fontId="21" fillId="4" borderId="11" xfId="3" applyFont="1" applyFill="1" applyBorder="1" applyAlignment="1">
      <alignment horizontal="center" vertical="center" wrapText="1"/>
    </xf>
    <xf numFmtId="0" fontId="21" fillId="4" borderId="14" xfId="3" applyFont="1" applyFill="1" applyBorder="1" applyAlignment="1">
      <alignment horizontal="center" vertical="center" wrapText="1"/>
    </xf>
    <xf numFmtId="0" fontId="25" fillId="2" borderId="24" xfId="3" applyFont="1" applyFill="1" applyBorder="1" applyAlignment="1">
      <alignment horizontal="center" vertical="center"/>
    </xf>
    <xf numFmtId="0" fontId="25" fillId="2" borderId="7" xfId="3" applyFont="1" applyFill="1" applyBorder="1" applyAlignment="1">
      <alignment horizontal="center" vertical="center"/>
    </xf>
    <xf numFmtId="0" fontId="25" fillId="2" borderId="32" xfId="3" applyFont="1" applyFill="1" applyBorder="1" applyAlignment="1">
      <alignment horizontal="center" vertical="center"/>
    </xf>
    <xf numFmtId="49" fontId="26" fillId="2" borderId="1" xfId="3" applyNumberFormat="1" applyFont="1" applyFill="1" applyBorder="1" applyAlignment="1">
      <alignment horizontal="center" vertical="center" wrapText="1"/>
    </xf>
    <xf numFmtId="49" fontId="26" fillId="2" borderId="2" xfId="3" applyNumberFormat="1" applyFont="1" applyFill="1" applyBorder="1" applyAlignment="1">
      <alignment horizontal="center" vertical="center" wrapText="1"/>
    </xf>
    <xf numFmtId="49" fontId="26" fillId="2" borderId="28" xfId="3" applyNumberFormat="1" applyFont="1" applyFill="1" applyBorder="1" applyAlignment="1">
      <alignment horizontal="center" vertical="center" wrapText="1"/>
    </xf>
    <xf numFmtId="0" fontId="26" fillId="2" borderId="1" xfId="3" applyFont="1" applyFill="1" applyBorder="1" applyAlignment="1">
      <alignment horizontal="center" vertical="center" wrapText="1"/>
    </xf>
    <xf numFmtId="0" fontId="26" fillId="2" borderId="2" xfId="3" applyFont="1" applyFill="1" applyBorder="1" applyAlignment="1">
      <alignment horizontal="center" vertical="center" wrapText="1"/>
    </xf>
    <xf numFmtId="0" fontId="26" fillId="2" borderId="28" xfId="3" applyFont="1" applyFill="1" applyBorder="1" applyAlignment="1">
      <alignment horizontal="center" vertical="center" wrapText="1"/>
    </xf>
    <xf numFmtId="0" fontId="25" fillId="5" borderId="26" xfId="3" applyFont="1" applyFill="1" applyBorder="1" applyAlignment="1">
      <alignment horizontal="center" vertical="center"/>
    </xf>
    <xf numFmtId="0" fontId="25" fillId="5" borderId="2" xfId="3" applyFont="1" applyFill="1" applyBorder="1" applyAlignment="1">
      <alignment horizontal="center" vertical="center"/>
    </xf>
    <xf numFmtId="0" fontId="25" fillId="5" borderId="28" xfId="3" applyFont="1" applyFill="1" applyBorder="1" applyAlignment="1">
      <alignment horizontal="center" vertical="center"/>
    </xf>
    <xf numFmtId="0" fontId="25" fillId="2" borderId="30" xfId="3" applyFont="1" applyFill="1" applyBorder="1" applyAlignment="1">
      <alignment horizontal="center" vertical="center"/>
    </xf>
    <xf numFmtId="0" fontId="25" fillId="2" borderId="6" xfId="3" applyFont="1" applyFill="1" applyBorder="1" applyAlignment="1">
      <alignment horizontal="center" vertical="center"/>
    </xf>
    <xf numFmtId="0" fontId="25" fillId="2" borderId="31" xfId="3" applyFont="1" applyFill="1" applyBorder="1" applyAlignment="1">
      <alignment horizontal="center" vertical="center"/>
    </xf>
    <xf numFmtId="0" fontId="25" fillId="5" borderId="7" xfId="3" applyFont="1" applyFill="1" applyBorder="1" applyAlignment="1">
      <alignment horizontal="center" vertical="center"/>
    </xf>
    <xf numFmtId="0" fontId="25" fillId="5" borderId="32" xfId="3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42" xfId="0" applyFont="1" applyFill="1" applyBorder="1" applyAlignment="1">
      <alignment horizontal="center" vertical="center"/>
    </xf>
    <xf numFmtId="0" fontId="24" fillId="4" borderId="12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right" vertical="center" wrapText="1"/>
    </xf>
    <xf numFmtId="43" fontId="23" fillId="4" borderId="4" xfId="7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center" wrapText="1"/>
    </xf>
  </cellXfs>
  <cellStyles count="8">
    <cellStyle name="Hiperlink" xfId="6" builtinId="8"/>
    <cellStyle name="Moeda" xfId="1" builtinId="4"/>
    <cellStyle name="Normal" xfId="0" builtinId="0"/>
    <cellStyle name="Normal 2" xfId="5"/>
    <cellStyle name="Normal 4" xfId="3"/>
    <cellStyle name="Normal 5" xfId="4"/>
    <cellStyle name="Porcentagem" xfId="2" builtinId="5"/>
    <cellStyle name="Vírgula" xfId="7" builtinId="3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indexed="10"/>
        <name val="Trebuchet MS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ela2" displayName="Tabela2" ref="A3:B22" totalsRowShown="0" headerRowDxfId="5" headerRowBorderDxfId="4" tableBorderDxfId="3" totalsRowBorderDxfId="2">
  <autoFilter ref="A3:B22"/>
  <tableColumns count="2">
    <tableColumn id="1" name="Colunas1" dataDxfId="1"/>
    <tableColumn id="2" name="Colunas2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../../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../../../../../../../../../../..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B1" zoomScale="145" zoomScaleNormal="145" workbookViewId="0">
      <selection activeCell="E8" sqref="E8"/>
    </sheetView>
  </sheetViews>
  <sheetFormatPr defaultRowHeight="15" x14ac:dyDescent="0.25"/>
  <cols>
    <col min="1" max="1" width="33.85546875" customWidth="1"/>
    <col min="2" max="2" width="15.42578125" customWidth="1"/>
    <col min="3" max="3" width="19.28515625" customWidth="1"/>
    <col min="5" max="5" width="59" customWidth="1"/>
  </cols>
  <sheetData>
    <row r="1" spans="1:5" ht="22.5" x14ac:dyDescent="0.25">
      <c r="E1" s="1" t="s">
        <v>50</v>
      </c>
    </row>
    <row r="2" spans="1:5" ht="21" x14ac:dyDescent="0.35">
      <c r="A2" s="166" t="s">
        <v>51</v>
      </c>
      <c r="B2" s="166"/>
      <c r="C2" s="166"/>
      <c r="E2" s="2" t="s">
        <v>52</v>
      </c>
    </row>
    <row r="3" spans="1:5" ht="174" customHeight="1" x14ac:dyDescent="0.3">
      <c r="A3" s="165" t="s">
        <v>53</v>
      </c>
      <c r="B3" s="165"/>
      <c r="C3" s="165"/>
      <c r="E3" s="4" t="s">
        <v>54</v>
      </c>
    </row>
    <row r="4" spans="1:5" ht="18.75" customHeight="1" thickBot="1" x14ac:dyDescent="0.35">
      <c r="A4" s="5"/>
      <c r="E4" s="6"/>
    </row>
    <row r="5" spans="1:5" ht="15.75" customHeight="1" thickBot="1" x14ac:dyDescent="0.3">
      <c r="A5" s="167" t="s">
        <v>55</v>
      </c>
      <c r="B5" s="168"/>
      <c r="C5" s="169"/>
      <c r="E5" s="7" t="s">
        <v>56</v>
      </c>
    </row>
    <row r="6" spans="1:5" ht="22.5" x14ac:dyDescent="0.25">
      <c r="A6" s="170" t="s">
        <v>57</v>
      </c>
      <c r="B6" s="170" t="s">
        <v>58</v>
      </c>
      <c r="C6" s="8" t="s">
        <v>59</v>
      </c>
      <c r="E6" s="7" t="s">
        <v>60</v>
      </c>
    </row>
    <row r="7" spans="1:5" ht="15.75" customHeight="1" thickBot="1" x14ac:dyDescent="0.3">
      <c r="A7" s="171"/>
      <c r="B7" s="171"/>
      <c r="C7" s="9" t="s">
        <v>61</v>
      </c>
      <c r="E7" s="7" t="s">
        <v>62</v>
      </c>
    </row>
    <row r="8" spans="1:5" ht="15.75" thickBot="1" x14ac:dyDescent="0.3">
      <c r="A8" s="10" t="s">
        <v>63</v>
      </c>
      <c r="B8" s="8">
        <v>30</v>
      </c>
      <c r="C8" s="8">
        <v>7</v>
      </c>
      <c r="D8">
        <f>(7/30)/12</f>
        <v>1.94444444444444E-2</v>
      </c>
      <c r="E8" s="11" t="s">
        <v>64</v>
      </c>
    </row>
    <row r="9" spans="1:5" ht="13.5" customHeight="1" x14ac:dyDescent="0.25">
      <c r="A9" s="12" t="s">
        <v>65</v>
      </c>
      <c r="B9" s="13">
        <v>33</v>
      </c>
      <c r="C9" s="13">
        <v>8</v>
      </c>
      <c r="D9">
        <f>(3/30)/12</f>
        <v>8.3333333333333297E-3</v>
      </c>
    </row>
    <row r="10" spans="1:5" ht="13.5" customHeight="1" x14ac:dyDescent="0.25">
      <c r="A10" s="12" t="s">
        <v>66</v>
      </c>
      <c r="B10" s="13">
        <v>36</v>
      </c>
      <c r="C10" s="13">
        <v>8</v>
      </c>
      <c r="D10">
        <f t="shared" ref="D10:D13" si="0">(3/30)/12</f>
        <v>8.3333333333333297E-3</v>
      </c>
    </row>
    <row r="11" spans="1:5" ht="13.5" customHeight="1" x14ac:dyDescent="0.25">
      <c r="A11" s="12" t="s">
        <v>67</v>
      </c>
      <c r="B11" s="13">
        <v>39</v>
      </c>
      <c r="C11" s="13">
        <v>9</v>
      </c>
      <c r="D11">
        <f t="shared" si="0"/>
        <v>8.3333333333333297E-3</v>
      </c>
    </row>
    <row r="12" spans="1:5" ht="13.5" customHeight="1" x14ac:dyDescent="0.25">
      <c r="A12" s="14" t="s">
        <v>68</v>
      </c>
      <c r="B12" s="15">
        <v>42</v>
      </c>
      <c r="C12" s="15">
        <v>10</v>
      </c>
      <c r="D12">
        <f t="shared" si="0"/>
        <v>8.3333333333333297E-3</v>
      </c>
    </row>
    <row r="13" spans="1:5" ht="13.5" customHeight="1" x14ac:dyDescent="0.25">
      <c r="A13" s="12" t="s">
        <v>69</v>
      </c>
      <c r="B13" s="13">
        <v>45</v>
      </c>
      <c r="C13" s="13">
        <v>11</v>
      </c>
      <c r="D13">
        <f t="shared" si="0"/>
        <v>8.3333333333333297E-3</v>
      </c>
      <c r="E13" t="s">
        <v>91</v>
      </c>
    </row>
    <row r="14" spans="1:5" x14ac:dyDescent="0.25">
      <c r="A14" s="12" t="s">
        <v>70</v>
      </c>
      <c r="B14" s="13">
        <v>48</v>
      </c>
      <c r="C14" s="13">
        <v>11</v>
      </c>
      <c r="E14" t="s">
        <v>49</v>
      </c>
    </row>
    <row r="15" spans="1:5" x14ac:dyDescent="0.25">
      <c r="A15" s="12" t="s">
        <v>71</v>
      </c>
      <c r="B15" s="13">
        <v>51</v>
      </c>
      <c r="C15" s="13">
        <v>12</v>
      </c>
    </row>
    <row r="16" spans="1:5" x14ac:dyDescent="0.25">
      <c r="A16" s="12" t="s">
        <v>72</v>
      </c>
      <c r="B16" s="13">
        <v>54</v>
      </c>
      <c r="C16" s="13">
        <v>13</v>
      </c>
    </row>
    <row r="17" spans="1:5" x14ac:dyDescent="0.25">
      <c r="A17" s="12" t="s">
        <v>73</v>
      </c>
      <c r="B17" s="13">
        <v>57</v>
      </c>
      <c r="C17" s="13">
        <v>13</v>
      </c>
    </row>
    <row r="18" spans="1:5" x14ac:dyDescent="0.25">
      <c r="A18" s="12" t="s">
        <v>74</v>
      </c>
      <c r="B18" s="13">
        <v>60</v>
      </c>
      <c r="C18" s="13">
        <v>14</v>
      </c>
    </row>
    <row r="19" spans="1:5" x14ac:dyDescent="0.25">
      <c r="A19" s="12" t="s">
        <v>75</v>
      </c>
      <c r="B19" s="13">
        <v>63</v>
      </c>
      <c r="C19" s="13">
        <v>15</v>
      </c>
    </row>
    <row r="20" spans="1:5" x14ac:dyDescent="0.25">
      <c r="A20" s="12" t="s">
        <v>76</v>
      </c>
      <c r="B20" s="13">
        <v>66</v>
      </c>
      <c r="C20" s="13">
        <v>15</v>
      </c>
    </row>
    <row r="21" spans="1:5" x14ac:dyDescent="0.25">
      <c r="A21" s="12" t="s">
        <v>77</v>
      </c>
      <c r="B21" s="13">
        <v>69</v>
      </c>
      <c r="C21" s="13">
        <v>16</v>
      </c>
    </row>
    <row r="22" spans="1:5" x14ac:dyDescent="0.25">
      <c r="A22" s="12" t="s">
        <v>78</v>
      </c>
      <c r="B22" s="13">
        <v>72</v>
      </c>
      <c r="C22" s="13">
        <v>17</v>
      </c>
    </row>
    <row r="23" spans="1:5" x14ac:dyDescent="0.25">
      <c r="A23" s="12" t="s">
        <v>79</v>
      </c>
      <c r="B23" s="13">
        <v>75</v>
      </c>
      <c r="C23" s="13">
        <v>18</v>
      </c>
    </row>
    <row r="24" spans="1:5" x14ac:dyDescent="0.25">
      <c r="A24" s="12" t="s">
        <v>80</v>
      </c>
      <c r="B24" s="13">
        <v>78</v>
      </c>
      <c r="C24" s="13">
        <v>18</v>
      </c>
    </row>
    <row r="25" spans="1:5" x14ac:dyDescent="0.25">
      <c r="A25" s="12" t="s">
        <v>81</v>
      </c>
      <c r="B25" s="13">
        <v>81</v>
      </c>
      <c r="C25" s="13">
        <v>19</v>
      </c>
    </row>
    <row r="26" spans="1:5" x14ac:dyDescent="0.25">
      <c r="A26" s="12" t="s">
        <v>82</v>
      </c>
      <c r="B26" s="13">
        <v>84</v>
      </c>
      <c r="C26" s="13">
        <v>20</v>
      </c>
    </row>
    <row r="27" spans="1:5" x14ac:dyDescent="0.25">
      <c r="A27" s="12" t="s">
        <v>83</v>
      </c>
      <c r="B27" s="13">
        <v>87</v>
      </c>
      <c r="C27" s="13">
        <v>20</v>
      </c>
    </row>
    <row r="28" spans="1:5" ht="15.75" thickBot="1" x14ac:dyDescent="0.3">
      <c r="A28" s="16" t="s">
        <v>84</v>
      </c>
      <c r="B28" s="9">
        <v>90</v>
      </c>
      <c r="C28" s="9">
        <v>21</v>
      </c>
      <c r="E28" s="17" t="s">
        <v>85</v>
      </c>
    </row>
    <row r="29" spans="1:5" ht="18.75" x14ac:dyDescent="0.3">
      <c r="A29" s="5"/>
    </row>
    <row r="30" spans="1:5" ht="145.5" customHeight="1" x14ac:dyDescent="0.3">
      <c r="A30" s="172" t="s">
        <v>86</v>
      </c>
      <c r="B30" s="172"/>
      <c r="C30" s="172"/>
    </row>
    <row r="31" spans="1:5" ht="18.75" x14ac:dyDescent="0.3">
      <c r="A31" s="5"/>
    </row>
    <row r="32" spans="1:5" ht="18.75" x14ac:dyDescent="0.3">
      <c r="A32" s="18" t="s">
        <v>87</v>
      </c>
    </row>
    <row r="33" spans="1:3" ht="18.75" x14ac:dyDescent="0.3">
      <c r="A33" s="5"/>
    </row>
    <row r="34" spans="1:3" x14ac:dyDescent="0.25">
      <c r="A34" s="165" t="s">
        <v>88</v>
      </c>
      <c r="B34" s="165"/>
      <c r="C34" s="165"/>
    </row>
    <row r="35" spans="1:3" x14ac:dyDescent="0.25">
      <c r="A35" s="165"/>
      <c r="B35" s="165"/>
      <c r="C35" s="165"/>
    </row>
    <row r="36" spans="1:3" x14ac:dyDescent="0.25">
      <c r="A36" s="165" t="s">
        <v>89</v>
      </c>
      <c r="B36" s="165"/>
      <c r="C36" s="165"/>
    </row>
    <row r="37" spans="1:3" x14ac:dyDescent="0.25">
      <c r="A37" s="165"/>
      <c r="B37" s="165"/>
      <c r="C37" s="165"/>
    </row>
    <row r="40" spans="1:3" x14ac:dyDescent="0.25">
      <c r="A40" s="19" t="s">
        <v>90</v>
      </c>
    </row>
  </sheetData>
  <mergeCells count="8">
    <mergeCell ref="A34:C35"/>
    <mergeCell ref="A36:C37"/>
    <mergeCell ref="A2:C2"/>
    <mergeCell ref="A3:C3"/>
    <mergeCell ref="A5:C5"/>
    <mergeCell ref="A6:A7"/>
    <mergeCell ref="B6:B7"/>
    <mergeCell ref="A30:C30"/>
  </mergeCells>
  <hyperlinks>
    <hyperlink ref="E28" location="'ADAPTAÇÃO A IN 06_13'!B77" display="VOLTAR PLANILHA PRINCIPAL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7" workbookViewId="0">
      <selection activeCell="E8" sqref="E8"/>
    </sheetView>
  </sheetViews>
  <sheetFormatPr defaultColWidth="42.85546875" defaultRowHeight="18.75" x14ac:dyDescent="0.3"/>
  <cols>
    <col min="1" max="1" width="42.85546875" style="3"/>
    <col min="2" max="2" width="72.5703125" style="3" customWidth="1"/>
    <col min="3" max="16384" width="42.85546875" style="20"/>
  </cols>
  <sheetData>
    <row r="1" spans="1:2" ht="19.5" thickBot="1" x14ac:dyDescent="0.35">
      <c r="A1" s="173" t="s">
        <v>92</v>
      </c>
      <c r="B1" s="173"/>
    </row>
    <row r="2" spans="1:2" ht="19.5" thickBot="1" x14ac:dyDescent="0.35">
      <c r="A2" s="21" t="s">
        <v>93</v>
      </c>
      <c r="B2" s="21" t="s">
        <v>94</v>
      </c>
    </row>
    <row r="3" spans="1:2" ht="19.5" thickBot="1" x14ac:dyDescent="0.35">
      <c r="A3" s="22" t="s">
        <v>95</v>
      </c>
      <c r="B3" s="23" t="s">
        <v>96</v>
      </c>
    </row>
    <row r="4" spans="1:2" ht="57" thickBot="1" x14ac:dyDescent="0.35">
      <c r="A4" s="24" t="s">
        <v>97</v>
      </c>
      <c r="B4" s="25" t="s">
        <v>98</v>
      </c>
    </row>
    <row r="5" spans="1:2" ht="19.5" thickBot="1" x14ac:dyDescent="0.35">
      <c r="A5" s="24" t="s">
        <v>99</v>
      </c>
      <c r="B5" s="25" t="s">
        <v>100</v>
      </c>
    </row>
    <row r="6" spans="1:2" ht="94.5" thickBot="1" x14ac:dyDescent="0.35">
      <c r="A6" s="24" t="s">
        <v>101</v>
      </c>
      <c r="B6" s="25" t="s">
        <v>102</v>
      </c>
    </row>
    <row r="7" spans="1:2" ht="38.25" thickBot="1" x14ac:dyDescent="0.35">
      <c r="A7" s="24" t="s">
        <v>103</v>
      </c>
      <c r="B7" s="25" t="s">
        <v>104</v>
      </c>
    </row>
    <row r="8" spans="1:2" ht="19.5" thickBot="1" x14ac:dyDescent="0.35">
      <c r="A8" s="24" t="s">
        <v>105</v>
      </c>
      <c r="B8" s="25" t="s">
        <v>106</v>
      </c>
    </row>
    <row r="9" spans="1:2" ht="38.25" thickBot="1" x14ac:dyDescent="0.35">
      <c r="A9" s="24" t="s">
        <v>107</v>
      </c>
      <c r="B9" s="25" t="s">
        <v>108</v>
      </c>
    </row>
    <row r="10" spans="1:2" ht="57" thickBot="1" x14ac:dyDescent="0.35">
      <c r="A10" s="24" t="s">
        <v>109</v>
      </c>
      <c r="B10" s="25" t="s">
        <v>110</v>
      </c>
    </row>
    <row r="11" spans="1:2" ht="75.75" thickBot="1" x14ac:dyDescent="0.35">
      <c r="A11" s="24" t="s">
        <v>111</v>
      </c>
      <c r="B11" s="25" t="s">
        <v>112</v>
      </c>
    </row>
    <row r="12" spans="1:2" ht="57" thickBot="1" x14ac:dyDescent="0.35">
      <c r="A12" s="24" t="s">
        <v>109</v>
      </c>
      <c r="B12" s="25" t="s">
        <v>113</v>
      </c>
    </row>
    <row r="13" spans="1:2" ht="38.25" thickBot="1" x14ac:dyDescent="0.35">
      <c r="A13" s="24" t="s">
        <v>109</v>
      </c>
      <c r="B13" s="25" t="s">
        <v>114</v>
      </c>
    </row>
    <row r="14" spans="1:2" ht="57" thickBot="1" x14ac:dyDescent="0.35">
      <c r="A14" s="24" t="s">
        <v>109</v>
      </c>
      <c r="B14" s="25" t="s">
        <v>115</v>
      </c>
    </row>
    <row r="15" spans="1:2" ht="19.5" thickBot="1" x14ac:dyDescent="0.35">
      <c r="A15" s="24" t="s">
        <v>109</v>
      </c>
      <c r="B15" s="25" t="s">
        <v>116</v>
      </c>
    </row>
    <row r="16" spans="1:2" ht="38.25" thickBot="1" x14ac:dyDescent="0.35">
      <c r="A16" s="24" t="s">
        <v>117</v>
      </c>
      <c r="B16" s="25" t="s">
        <v>118</v>
      </c>
    </row>
    <row r="17" spans="1:2" ht="38.25" thickBot="1" x14ac:dyDescent="0.35">
      <c r="A17" s="24" t="s">
        <v>119</v>
      </c>
      <c r="B17" s="25" t="s">
        <v>120</v>
      </c>
    </row>
    <row r="18" spans="1:2" ht="38.25" thickBot="1" x14ac:dyDescent="0.35">
      <c r="A18" s="24" t="s">
        <v>109</v>
      </c>
      <c r="B18" s="25" t="s">
        <v>121</v>
      </c>
    </row>
    <row r="19" spans="1:2" ht="57" thickBot="1" x14ac:dyDescent="0.35">
      <c r="A19" s="24" t="s">
        <v>109</v>
      </c>
      <c r="B19" s="25" t="s">
        <v>122</v>
      </c>
    </row>
    <row r="20" spans="1:2" ht="38.25" thickBot="1" x14ac:dyDescent="0.35">
      <c r="A20" s="24" t="s">
        <v>109</v>
      </c>
      <c r="B20" s="25" t="s">
        <v>123</v>
      </c>
    </row>
    <row r="21" spans="1:2" ht="57" thickBot="1" x14ac:dyDescent="0.35">
      <c r="A21" s="24" t="s">
        <v>109</v>
      </c>
      <c r="B21" s="25" t="s">
        <v>124</v>
      </c>
    </row>
    <row r="22" spans="1:2" x14ac:dyDescent="0.3">
      <c r="A22" s="26" t="s">
        <v>109</v>
      </c>
      <c r="B22" s="27" t="s">
        <v>125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zoomScale="115" zoomScaleNormal="115" zoomScaleSheetLayoutView="115" zoomScalePageLayoutView="70" workbookViewId="0">
      <selection activeCell="B17" sqref="B17"/>
    </sheetView>
  </sheetViews>
  <sheetFormatPr defaultColWidth="9.140625" defaultRowHeight="15.75" x14ac:dyDescent="0.25"/>
  <cols>
    <col min="1" max="1" width="6.5703125" style="39" customWidth="1"/>
    <col min="2" max="2" width="68.5703125" style="40" customWidth="1"/>
    <col min="3" max="3" width="12.28515625" style="38" customWidth="1"/>
    <col min="4" max="4" width="16.140625" style="38" customWidth="1"/>
    <col min="5" max="5" width="17" style="41" customWidth="1"/>
    <col min="6" max="6" width="21.28515625" style="41" customWidth="1"/>
    <col min="7" max="7" width="22.140625" style="41" customWidth="1"/>
    <col min="8" max="8" width="0" style="37" hidden="1" customWidth="1"/>
    <col min="9" max="9" width="9.85546875" style="38" hidden="1" customWidth="1"/>
    <col min="10" max="12" width="9.85546875" style="39" hidden="1" customWidth="1"/>
    <col min="13" max="13" width="0" style="39" hidden="1" customWidth="1"/>
    <col min="14" max="14" width="10.140625" style="39" hidden="1" customWidth="1"/>
    <col min="15" max="16384" width="9.140625" style="39"/>
  </cols>
  <sheetData>
    <row r="1" spans="1:23" x14ac:dyDescent="0.25">
      <c r="A1" s="174" t="s">
        <v>279</v>
      </c>
      <c r="B1" s="175"/>
      <c r="C1" s="175"/>
      <c r="D1" s="175"/>
      <c r="E1" s="175"/>
      <c r="F1" s="175"/>
      <c r="G1" s="176"/>
    </row>
    <row r="2" spans="1:23" x14ac:dyDescent="0.25">
      <c r="A2" s="177"/>
      <c r="B2" s="178"/>
      <c r="C2" s="178"/>
      <c r="D2" s="178"/>
      <c r="E2" s="178"/>
      <c r="F2" s="178"/>
      <c r="G2" s="179"/>
      <c r="Q2" s="153"/>
    </row>
    <row r="3" spans="1:23" x14ac:dyDescent="0.25">
      <c r="A3" s="177"/>
      <c r="B3" s="178"/>
      <c r="C3" s="178"/>
      <c r="D3" s="178"/>
      <c r="E3" s="178"/>
      <c r="F3" s="178"/>
      <c r="G3" s="179"/>
      <c r="Q3" s="153"/>
    </row>
    <row r="4" spans="1:23" ht="16.5" thickBot="1" x14ac:dyDescent="0.3">
      <c r="A4" s="177"/>
      <c r="B4" s="178"/>
      <c r="C4" s="178"/>
      <c r="D4" s="178"/>
      <c r="E4" s="178"/>
      <c r="F4" s="178"/>
      <c r="G4" s="179"/>
      <c r="Q4" s="153"/>
    </row>
    <row r="5" spans="1:23" s="44" customFormat="1" ht="18.75" x14ac:dyDescent="0.25">
      <c r="A5" s="180"/>
      <c r="B5" s="181"/>
      <c r="C5" s="181"/>
      <c r="D5" s="181"/>
      <c r="E5" s="181"/>
      <c r="F5" s="181"/>
      <c r="G5" s="182"/>
      <c r="H5" s="42"/>
      <c r="I5" s="43"/>
      <c r="O5" s="39"/>
      <c r="P5" s="39"/>
      <c r="Q5" s="153"/>
      <c r="R5" s="39"/>
      <c r="S5" s="39"/>
      <c r="T5" s="39"/>
      <c r="U5" s="39"/>
      <c r="V5" s="39"/>
      <c r="W5" s="39"/>
    </row>
    <row r="6" spans="1:23" ht="31.5" x14ac:dyDescent="0.25">
      <c r="A6" s="101" t="s">
        <v>133</v>
      </c>
      <c r="B6" s="102" t="s">
        <v>132</v>
      </c>
      <c r="C6" s="101" t="s">
        <v>134</v>
      </c>
      <c r="D6" s="101" t="s">
        <v>140</v>
      </c>
      <c r="E6" s="103" t="s">
        <v>277</v>
      </c>
      <c r="F6" s="103" t="s">
        <v>136</v>
      </c>
      <c r="G6" s="103" t="s">
        <v>155</v>
      </c>
      <c r="L6" s="39" t="s">
        <v>135</v>
      </c>
    </row>
    <row r="7" spans="1:23" x14ac:dyDescent="0.25">
      <c r="A7" s="119">
        <v>1</v>
      </c>
      <c r="B7" s="154" t="s">
        <v>275</v>
      </c>
      <c r="C7" s="155" t="s">
        <v>274</v>
      </c>
      <c r="D7" s="162">
        <v>2</v>
      </c>
      <c r="E7" s="161">
        <f>'AUX LIMPEZA COM INSALUBRIDADE'!E110</f>
        <v>7300.14</v>
      </c>
      <c r="F7" s="161">
        <f>E7*D7</f>
        <v>14600.28</v>
      </c>
      <c r="G7" s="161">
        <f>F7*12</f>
        <v>175203.36</v>
      </c>
    </row>
    <row r="8" spans="1:23" s="37" customFormat="1" ht="15.75" customHeight="1" x14ac:dyDescent="0.25">
      <c r="A8" s="183" t="s">
        <v>217</v>
      </c>
      <c r="B8" s="184"/>
      <c r="C8" s="185"/>
      <c r="D8" s="163">
        <f>SUM(D7:D7)</f>
        <v>2</v>
      </c>
      <c r="E8" s="160"/>
      <c r="F8" s="156">
        <f>SUM(F7:F7)</f>
        <v>14600.28</v>
      </c>
      <c r="G8" s="156">
        <f>SUM(G7:G7)</f>
        <v>175203.36</v>
      </c>
      <c r="I8" s="38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</row>
    <row r="10" spans="1:23" s="37" customFormat="1" x14ac:dyDescent="0.25">
      <c r="A10" s="120"/>
      <c r="B10" s="40"/>
      <c r="C10" s="38"/>
      <c r="D10" s="38"/>
      <c r="E10" s="41"/>
      <c r="F10" s="41"/>
      <c r="G10" s="41"/>
      <c r="I10" s="38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</sheetData>
  <mergeCells count="3">
    <mergeCell ref="A1:G4"/>
    <mergeCell ref="A5:G5"/>
    <mergeCell ref="A8:C8"/>
  </mergeCells>
  <pageMargins left="0.51181102362204722" right="0.31496062992125984" top="1.3779527559055118" bottom="0.78740157480314965" header="0.31496062992125984" footer="0.31496062992125984"/>
  <pageSetup paperSize="9" scale="57" orientation="portrait" r:id="rId1"/>
  <headerFooter scaleWithDoc="0" alignWithMargins="0"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showGridLines="0" showWhiteSpace="0" view="pageBreakPreview" zoomScaleNormal="90" zoomScaleSheetLayoutView="100" workbookViewId="0">
      <selection activeCell="E24" sqref="E24"/>
    </sheetView>
  </sheetViews>
  <sheetFormatPr defaultRowHeight="15" x14ac:dyDescent="0.25"/>
  <cols>
    <col min="1" max="1" width="5.5703125" customWidth="1"/>
    <col min="2" max="2" width="40.140625" customWidth="1"/>
    <col min="3" max="3" width="28.85546875" customWidth="1"/>
    <col min="4" max="4" width="17.7109375" customWidth="1"/>
    <col min="5" max="5" width="20.85546875" customWidth="1"/>
    <col min="9" max="9" width="11.140625" bestFit="1" customWidth="1"/>
  </cols>
  <sheetData>
    <row r="1" spans="1:5" ht="21.75" thickBot="1" x14ac:dyDescent="0.3">
      <c r="A1" s="251" t="s">
        <v>127</v>
      </c>
      <c r="B1" s="252"/>
      <c r="C1" s="252"/>
      <c r="D1" s="252"/>
      <c r="E1" s="253"/>
    </row>
    <row r="2" spans="1:5" x14ac:dyDescent="0.25">
      <c r="A2" s="254" t="s">
        <v>163</v>
      </c>
      <c r="B2" s="255"/>
      <c r="C2" s="255"/>
      <c r="D2" s="255"/>
      <c r="E2" s="256"/>
    </row>
    <row r="3" spans="1:5" x14ac:dyDescent="0.25">
      <c r="A3" s="45" t="s">
        <v>0</v>
      </c>
      <c r="B3" s="46" t="s">
        <v>1</v>
      </c>
      <c r="C3" s="257" t="s">
        <v>266</v>
      </c>
      <c r="D3" s="258"/>
      <c r="E3" s="259"/>
    </row>
    <row r="4" spans="1:5" x14ac:dyDescent="0.25">
      <c r="A4" s="45" t="s">
        <v>2</v>
      </c>
      <c r="B4" s="46" t="s">
        <v>132</v>
      </c>
      <c r="C4" s="260" t="s">
        <v>164</v>
      </c>
      <c r="D4" s="261"/>
      <c r="E4" s="262"/>
    </row>
    <row r="5" spans="1:5" ht="25.5" x14ac:dyDescent="0.25">
      <c r="A5" s="45" t="s">
        <v>3</v>
      </c>
      <c r="B5" s="46" t="s">
        <v>4</v>
      </c>
      <c r="C5" s="260" t="s">
        <v>262</v>
      </c>
      <c r="D5" s="261"/>
      <c r="E5" s="262"/>
    </row>
    <row r="6" spans="1:5" x14ac:dyDescent="0.25">
      <c r="A6" s="45" t="s">
        <v>5</v>
      </c>
      <c r="B6" s="46" t="s">
        <v>165</v>
      </c>
      <c r="C6" s="260">
        <v>12</v>
      </c>
      <c r="D6" s="261"/>
      <c r="E6" s="262"/>
    </row>
    <row r="7" spans="1:5" x14ac:dyDescent="0.25">
      <c r="A7" s="263" t="s">
        <v>6</v>
      </c>
      <c r="B7" s="264"/>
      <c r="C7" s="264"/>
      <c r="D7" s="264"/>
      <c r="E7" s="265"/>
    </row>
    <row r="8" spans="1:5" x14ac:dyDescent="0.25">
      <c r="A8" s="266" t="s">
        <v>7</v>
      </c>
      <c r="B8" s="267"/>
      <c r="C8" s="267"/>
      <c r="D8" s="267"/>
      <c r="E8" s="268"/>
    </row>
    <row r="9" spans="1:5" x14ac:dyDescent="0.25">
      <c r="A9" s="254" t="s">
        <v>8</v>
      </c>
      <c r="B9" s="269"/>
      <c r="C9" s="269"/>
      <c r="D9" s="269"/>
      <c r="E9" s="270"/>
    </row>
    <row r="10" spans="1:5" ht="15" customHeight="1" x14ac:dyDescent="0.25">
      <c r="A10" s="189" t="s">
        <v>9</v>
      </c>
      <c r="B10" s="190"/>
      <c r="C10" s="190"/>
      <c r="D10" s="190"/>
      <c r="E10" s="191"/>
    </row>
    <row r="11" spans="1:5" ht="27.75" customHeight="1" x14ac:dyDescent="0.25">
      <c r="A11" s="45"/>
      <c r="B11" s="100" t="s">
        <v>128</v>
      </c>
      <c r="C11" s="213" t="s">
        <v>131</v>
      </c>
      <c r="D11" s="214"/>
      <c r="E11" s="215"/>
    </row>
    <row r="12" spans="1:5" x14ac:dyDescent="0.25">
      <c r="A12" s="45">
        <v>2</v>
      </c>
      <c r="B12" s="48" t="s">
        <v>11</v>
      </c>
      <c r="C12" s="49"/>
      <c r="D12" s="50"/>
      <c r="E12" s="51">
        <v>1501.7</v>
      </c>
    </row>
    <row r="13" spans="1:5" ht="25.5" x14ac:dyDescent="0.25">
      <c r="A13" s="45">
        <v>3</v>
      </c>
      <c r="B13" s="100" t="s">
        <v>12</v>
      </c>
      <c r="C13" s="213" t="s">
        <v>261</v>
      </c>
      <c r="D13" s="214"/>
      <c r="E13" s="215"/>
    </row>
    <row r="14" spans="1:5" x14ac:dyDescent="0.25">
      <c r="A14" s="45">
        <v>4</v>
      </c>
      <c r="B14" s="52" t="s">
        <v>13</v>
      </c>
      <c r="C14" s="198">
        <v>44940</v>
      </c>
      <c r="D14" s="199"/>
      <c r="E14" s="200"/>
    </row>
    <row r="15" spans="1:5" x14ac:dyDescent="0.25">
      <c r="A15" s="186" t="s">
        <v>14</v>
      </c>
      <c r="B15" s="187"/>
      <c r="C15" s="187"/>
      <c r="D15" s="187"/>
      <c r="E15" s="188"/>
    </row>
    <row r="16" spans="1:5" x14ac:dyDescent="0.25">
      <c r="A16" s="54">
        <v>1</v>
      </c>
      <c r="B16" s="201" t="s">
        <v>15</v>
      </c>
      <c r="C16" s="202"/>
      <c r="D16" s="203"/>
      <c r="E16" s="47" t="s">
        <v>10</v>
      </c>
    </row>
    <row r="17" spans="1:5" x14ac:dyDescent="0.25">
      <c r="A17" s="56" t="s">
        <v>0</v>
      </c>
      <c r="B17" s="57" t="s">
        <v>16</v>
      </c>
      <c r="C17" s="204"/>
      <c r="D17" s="205"/>
      <c r="E17" s="58">
        <f>+E12</f>
        <v>1501.7</v>
      </c>
    </row>
    <row r="18" spans="1:5" x14ac:dyDescent="0.25">
      <c r="A18" s="56" t="s">
        <v>2</v>
      </c>
      <c r="B18" s="57" t="s">
        <v>17</v>
      </c>
      <c r="C18" s="112">
        <v>0</v>
      </c>
      <c r="D18" s="113">
        <f>E17</f>
        <v>1501.7</v>
      </c>
      <c r="E18" s="59">
        <f>E17*C18</f>
        <v>0</v>
      </c>
    </row>
    <row r="19" spans="1:5" x14ac:dyDescent="0.25">
      <c r="A19" s="56" t="s">
        <v>3</v>
      </c>
      <c r="B19" s="105" t="s">
        <v>215</v>
      </c>
      <c r="C19" s="112">
        <v>0</v>
      </c>
      <c r="D19" s="113">
        <v>1320</v>
      </c>
      <c r="E19" s="59">
        <f>D19*C19</f>
        <v>0</v>
      </c>
    </row>
    <row r="20" spans="1:5" x14ac:dyDescent="0.25">
      <c r="A20" s="56" t="s">
        <v>5</v>
      </c>
      <c r="B20" s="57" t="s">
        <v>18</v>
      </c>
      <c r="C20" s="206">
        <v>0</v>
      </c>
      <c r="D20" s="207"/>
      <c r="E20" s="59">
        <f>(E17+E18+E19)*C20*(7/12)</f>
        <v>0</v>
      </c>
    </row>
    <row r="21" spans="1:5" x14ac:dyDescent="0.25">
      <c r="A21" s="56" t="s">
        <v>19</v>
      </c>
      <c r="B21" s="57" t="s">
        <v>216</v>
      </c>
      <c r="C21" s="206"/>
      <c r="D21" s="207"/>
      <c r="E21" s="59">
        <f>(E17+E18+E19)*(1/12)*(1+C20)*0</f>
        <v>0</v>
      </c>
    </row>
    <row r="22" spans="1:5" x14ac:dyDescent="0.25">
      <c r="A22" s="56" t="s">
        <v>20</v>
      </c>
      <c r="B22" s="60" t="s">
        <v>129</v>
      </c>
      <c r="C22" s="208"/>
      <c r="D22" s="209"/>
      <c r="E22" s="59">
        <v>0</v>
      </c>
    </row>
    <row r="23" spans="1:5" x14ac:dyDescent="0.25">
      <c r="A23" s="56" t="s">
        <v>21</v>
      </c>
      <c r="B23" s="61" t="s">
        <v>130</v>
      </c>
      <c r="C23" s="208"/>
      <c r="D23" s="209"/>
      <c r="E23" s="59">
        <v>0</v>
      </c>
    </row>
    <row r="24" spans="1:5" x14ac:dyDescent="0.25">
      <c r="A24" s="210" t="s">
        <v>22</v>
      </c>
      <c r="B24" s="211"/>
      <c r="C24" s="211"/>
      <c r="D24" s="212"/>
      <c r="E24" s="94">
        <f>SUM(E17:E23)</f>
        <v>1501.7</v>
      </c>
    </row>
    <row r="25" spans="1:5" x14ac:dyDescent="0.25">
      <c r="A25" s="186" t="s">
        <v>48</v>
      </c>
      <c r="B25" s="187"/>
      <c r="C25" s="187"/>
      <c r="D25" s="187"/>
      <c r="E25" s="188"/>
    </row>
    <row r="26" spans="1:5" x14ac:dyDescent="0.25">
      <c r="A26" s="54" t="s">
        <v>137</v>
      </c>
      <c r="B26" s="201" t="s">
        <v>166</v>
      </c>
      <c r="C26" s="202"/>
      <c r="D26" s="203"/>
      <c r="E26" s="47" t="s">
        <v>10</v>
      </c>
    </row>
    <row r="27" spans="1:5" x14ac:dyDescent="0.25">
      <c r="A27" s="62" t="s">
        <v>0</v>
      </c>
      <c r="B27" s="192" t="s">
        <v>29</v>
      </c>
      <c r="C27" s="193"/>
      <c r="D27" s="64">
        <f>1/12</f>
        <v>8.3299999999999999E-2</v>
      </c>
      <c r="E27" s="53">
        <f>($E$24*D27)</f>
        <v>125.09</v>
      </c>
    </row>
    <row r="28" spans="1:5" x14ac:dyDescent="0.25">
      <c r="A28" s="62" t="s">
        <v>2</v>
      </c>
      <c r="B28" s="192" t="s">
        <v>214</v>
      </c>
      <c r="C28" s="193"/>
      <c r="D28" s="64">
        <v>0.1111</v>
      </c>
      <c r="E28" s="53">
        <f>($E$24*D28)</f>
        <v>166.84</v>
      </c>
    </row>
    <row r="29" spans="1:5" x14ac:dyDescent="0.25">
      <c r="A29" s="210" t="s">
        <v>27</v>
      </c>
      <c r="B29" s="211"/>
      <c r="C29" s="242"/>
      <c r="D29" s="95">
        <f>SUM(D27:D28)</f>
        <v>0.19439999999999999</v>
      </c>
      <c r="E29" s="94">
        <f>SUM(E27:E28)</f>
        <v>291.93</v>
      </c>
    </row>
    <row r="30" spans="1:5" ht="26.25" customHeight="1" x14ac:dyDescent="0.25">
      <c r="A30" s="243" t="s">
        <v>167</v>
      </c>
      <c r="B30" s="244"/>
      <c r="C30" s="244"/>
      <c r="D30" s="244"/>
      <c r="E30" s="245"/>
    </row>
    <row r="31" spans="1:5" x14ac:dyDescent="0.25">
      <c r="A31" s="54" t="s">
        <v>138</v>
      </c>
      <c r="B31" s="201" t="s">
        <v>25</v>
      </c>
      <c r="C31" s="202"/>
      <c r="D31" s="203"/>
      <c r="E31" s="47" t="s">
        <v>10</v>
      </c>
    </row>
    <row r="32" spans="1:5" x14ac:dyDescent="0.25">
      <c r="A32" s="62" t="s">
        <v>0</v>
      </c>
      <c r="B32" s="194" t="s">
        <v>168</v>
      </c>
      <c r="C32" s="195"/>
      <c r="D32" s="64">
        <v>0.2</v>
      </c>
      <c r="E32" s="53">
        <f>(E24+E29)*D32</f>
        <v>358.73</v>
      </c>
    </row>
    <row r="33" spans="1:5" x14ac:dyDescent="0.25">
      <c r="A33" s="62" t="s">
        <v>2</v>
      </c>
      <c r="B33" s="194" t="s">
        <v>169</v>
      </c>
      <c r="C33" s="195"/>
      <c r="D33" s="64">
        <v>1.4999999999999999E-2</v>
      </c>
      <c r="E33" s="53">
        <f>(E24+E29)*D33</f>
        <v>26.9</v>
      </c>
    </row>
    <row r="34" spans="1:5" x14ac:dyDescent="0.25">
      <c r="A34" s="62" t="s">
        <v>3</v>
      </c>
      <c r="B34" s="194" t="s">
        <v>264</v>
      </c>
      <c r="C34" s="195"/>
      <c r="D34" s="64">
        <v>0.01</v>
      </c>
      <c r="E34" s="53">
        <f>(E24+E29)*D34</f>
        <v>17.940000000000001</v>
      </c>
    </row>
    <row r="35" spans="1:5" x14ac:dyDescent="0.25">
      <c r="A35" s="62" t="s">
        <v>5</v>
      </c>
      <c r="B35" s="194" t="s">
        <v>170</v>
      </c>
      <c r="C35" s="195"/>
      <c r="D35" s="64">
        <v>2E-3</v>
      </c>
      <c r="E35" s="53">
        <f>(E24+E29)*D35</f>
        <v>3.59</v>
      </c>
    </row>
    <row r="36" spans="1:5" x14ac:dyDescent="0.25">
      <c r="A36" s="62" t="s">
        <v>19</v>
      </c>
      <c r="B36" s="194" t="s">
        <v>265</v>
      </c>
      <c r="C36" s="195"/>
      <c r="D36" s="64">
        <v>2.5000000000000001E-2</v>
      </c>
      <c r="E36" s="53">
        <f>(E24+E29)*D36</f>
        <v>44.84</v>
      </c>
    </row>
    <row r="37" spans="1:5" x14ac:dyDescent="0.25">
      <c r="A37" s="62" t="s">
        <v>20</v>
      </c>
      <c r="B37" s="194" t="s">
        <v>171</v>
      </c>
      <c r="C37" s="195"/>
      <c r="D37" s="64">
        <v>0.08</v>
      </c>
      <c r="E37" s="53">
        <f>(E24+E29)*D37</f>
        <v>143.49</v>
      </c>
    </row>
    <row r="38" spans="1:5" x14ac:dyDescent="0.25">
      <c r="A38" s="62" t="s">
        <v>21</v>
      </c>
      <c r="B38" s="194" t="s">
        <v>172</v>
      </c>
      <c r="C38" s="195"/>
      <c r="D38" s="64">
        <v>0.06</v>
      </c>
      <c r="E38" s="53">
        <v>67.45</v>
      </c>
    </row>
    <row r="39" spans="1:5" x14ac:dyDescent="0.25">
      <c r="A39" s="106" t="s">
        <v>26</v>
      </c>
      <c r="B39" s="196" t="s">
        <v>173</v>
      </c>
      <c r="C39" s="197"/>
      <c r="D39" s="107">
        <v>6.0000000000000001E-3</v>
      </c>
      <c r="E39" s="108">
        <f>(E24+E29)*D39</f>
        <v>10.76</v>
      </c>
    </row>
    <row r="40" spans="1:5" x14ac:dyDescent="0.25">
      <c r="A40" s="210" t="s">
        <v>27</v>
      </c>
      <c r="B40" s="211"/>
      <c r="C40" s="242"/>
      <c r="D40" s="95">
        <f>SUM(D32:D39)</f>
        <v>0.39800000000000002</v>
      </c>
      <c r="E40" s="94">
        <f>SUM(E32:E39)</f>
        <v>673.7</v>
      </c>
    </row>
    <row r="41" spans="1:5" x14ac:dyDescent="0.25">
      <c r="A41" s="54" t="s">
        <v>139</v>
      </c>
      <c r="B41" s="201" t="s">
        <v>174</v>
      </c>
      <c r="C41" s="202"/>
      <c r="D41" s="203"/>
      <c r="E41" s="47" t="s">
        <v>10</v>
      </c>
    </row>
    <row r="42" spans="1:5" x14ac:dyDescent="0.25">
      <c r="A42" s="62" t="s">
        <v>0</v>
      </c>
      <c r="B42" s="192" t="s">
        <v>161</v>
      </c>
      <c r="C42" s="193"/>
      <c r="D42" s="114">
        <v>4.5</v>
      </c>
      <c r="E42" s="66">
        <f>(32*4.05)-(E12*0.06)</f>
        <v>39.5</v>
      </c>
    </row>
    <row r="43" spans="1:5" x14ac:dyDescent="0.25">
      <c r="A43" s="62" t="s">
        <v>2</v>
      </c>
      <c r="B43" s="192" t="s">
        <v>209</v>
      </c>
      <c r="C43" s="193"/>
      <c r="D43" s="115">
        <v>540</v>
      </c>
      <c r="E43" s="58">
        <f>(D43)-(D43*0.99%)</f>
        <v>534.65</v>
      </c>
    </row>
    <row r="44" spans="1:5" x14ac:dyDescent="0.25">
      <c r="A44" s="62" t="s">
        <v>3</v>
      </c>
      <c r="B44" s="192" t="s">
        <v>175</v>
      </c>
      <c r="C44" s="193"/>
      <c r="D44" s="116"/>
      <c r="E44" s="66">
        <v>0</v>
      </c>
    </row>
    <row r="45" spans="1:5" x14ac:dyDescent="0.25">
      <c r="A45" s="62" t="s">
        <v>5</v>
      </c>
      <c r="B45" s="192" t="s">
        <v>176</v>
      </c>
      <c r="C45" s="193"/>
      <c r="D45" s="117">
        <v>0.5</v>
      </c>
      <c r="E45" s="59">
        <f>(((E12*50%)*0.0199)*2)/12</f>
        <v>2.4900000000000002</v>
      </c>
    </row>
    <row r="46" spans="1:5" x14ac:dyDescent="0.25">
      <c r="A46" s="62" t="s">
        <v>19</v>
      </c>
      <c r="B46" s="192" t="s">
        <v>177</v>
      </c>
      <c r="C46" s="193"/>
      <c r="D46" s="115">
        <v>30000</v>
      </c>
      <c r="E46" s="53">
        <f>(D46*0.5%)/12</f>
        <v>12.5</v>
      </c>
    </row>
    <row r="47" spans="1:5" x14ac:dyDescent="0.25">
      <c r="A47" s="210" t="s">
        <v>23</v>
      </c>
      <c r="B47" s="211"/>
      <c r="C47" s="211"/>
      <c r="D47" s="212"/>
      <c r="E47" s="94">
        <f>SUM(E42:E46)</f>
        <v>589.14</v>
      </c>
    </row>
    <row r="48" spans="1:5" x14ac:dyDescent="0.25">
      <c r="A48" s="186" t="s">
        <v>178</v>
      </c>
      <c r="B48" s="187"/>
      <c r="C48" s="187"/>
      <c r="D48" s="239"/>
      <c r="E48" s="47" t="s">
        <v>10</v>
      </c>
    </row>
    <row r="49" spans="1:9" x14ac:dyDescent="0.25">
      <c r="A49" s="54" t="s">
        <v>137</v>
      </c>
      <c r="B49" s="246" t="s">
        <v>179</v>
      </c>
      <c r="C49" s="247"/>
      <c r="D49" s="248"/>
      <c r="E49" s="55">
        <f>E29</f>
        <v>291.93</v>
      </c>
    </row>
    <row r="50" spans="1:9" x14ac:dyDescent="0.25">
      <c r="A50" s="54" t="s">
        <v>138</v>
      </c>
      <c r="B50" s="246" t="s">
        <v>180</v>
      </c>
      <c r="C50" s="249"/>
      <c r="D50" s="250"/>
      <c r="E50" s="53">
        <f>E40</f>
        <v>673.7</v>
      </c>
    </row>
    <row r="51" spans="1:9" x14ac:dyDescent="0.25">
      <c r="A51" s="54" t="s">
        <v>139</v>
      </c>
      <c r="B51" s="246" t="s">
        <v>181</v>
      </c>
      <c r="C51" s="249"/>
      <c r="D51" s="250"/>
      <c r="E51" s="53">
        <f>E47</f>
        <v>589.14</v>
      </c>
    </row>
    <row r="52" spans="1:9" x14ac:dyDescent="0.25">
      <c r="A52" s="210" t="s">
        <v>27</v>
      </c>
      <c r="B52" s="211"/>
      <c r="C52" s="242"/>
      <c r="D52" s="96" t="s">
        <v>126</v>
      </c>
      <c r="E52" s="94">
        <f>SUM(E49:E51)</f>
        <v>1554.77</v>
      </c>
    </row>
    <row r="53" spans="1:9" x14ac:dyDescent="0.25">
      <c r="A53" s="186" t="s">
        <v>182</v>
      </c>
      <c r="B53" s="187"/>
      <c r="C53" s="187"/>
      <c r="D53" s="187"/>
      <c r="E53" s="188"/>
    </row>
    <row r="54" spans="1:9" x14ac:dyDescent="0.25">
      <c r="A54" s="54" t="s">
        <v>183</v>
      </c>
      <c r="B54" s="201" t="s">
        <v>30</v>
      </c>
      <c r="C54" s="202"/>
      <c r="D54" s="203"/>
      <c r="E54" s="47" t="s">
        <v>10</v>
      </c>
    </row>
    <row r="55" spans="1:9" x14ac:dyDescent="0.25">
      <c r="A55" s="62" t="s">
        <v>0</v>
      </c>
      <c r="B55" s="192" t="s">
        <v>184</v>
      </c>
      <c r="C55" s="193"/>
      <c r="D55" s="64">
        <f>(1/12)*0.05</f>
        <v>4.1999999999999997E-3</v>
      </c>
      <c r="E55" s="53">
        <f t="shared" ref="E55:E60" si="0">ROUND(+D55*$E$24,2)</f>
        <v>6.31</v>
      </c>
    </row>
    <row r="56" spans="1:9" x14ac:dyDescent="0.25">
      <c r="A56" s="62" t="s">
        <v>2</v>
      </c>
      <c r="B56" s="192" t="s">
        <v>185</v>
      </c>
      <c r="C56" s="193"/>
      <c r="D56" s="64">
        <f>D37*D55</f>
        <v>2.9999999999999997E-4</v>
      </c>
      <c r="E56" s="53">
        <f t="shared" si="0"/>
        <v>0.45</v>
      </c>
    </row>
    <row r="57" spans="1:9" x14ac:dyDescent="0.25">
      <c r="A57" s="62" t="s">
        <v>3</v>
      </c>
      <c r="B57" s="192" t="s">
        <v>186</v>
      </c>
      <c r="C57" s="193"/>
      <c r="D57" s="64">
        <v>0.02</v>
      </c>
      <c r="E57" s="53">
        <f t="shared" si="0"/>
        <v>30.03</v>
      </c>
    </row>
    <row r="58" spans="1:9" x14ac:dyDescent="0.25">
      <c r="A58" s="62" t="s">
        <v>5</v>
      </c>
      <c r="B58" s="194" t="s">
        <v>31</v>
      </c>
      <c r="C58" s="195"/>
      <c r="D58" s="64">
        <v>1.9400000000000001E-2</v>
      </c>
      <c r="E58" s="53">
        <f t="shared" si="0"/>
        <v>29.13</v>
      </c>
    </row>
    <row r="59" spans="1:9" ht="25.5" customHeight="1" x14ac:dyDescent="0.25">
      <c r="A59" s="62" t="s">
        <v>19</v>
      </c>
      <c r="B59" s="192" t="s">
        <v>187</v>
      </c>
      <c r="C59" s="193"/>
      <c r="D59" s="64">
        <f>D40*D58</f>
        <v>7.7000000000000002E-3</v>
      </c>
      <c r="E59" s="53">
        <v>13.36</v>
      </c>
    </row>
    <row r="60" spans="1:9" x14ac:dyDescent="0.25">
      <c r="A60" s="62" t="s">
        <v>20</v>
      </c>
      <c r="B60" s="192" t="s">
        <v>188</v>
      </c>
      <c r="C60" s="193"/>
      <c r="D60" s="64">
        <v>0.02</v>
      </c>
      <c r="E60" s="53">
        <f t="shared" si="0"/>
        <v>30.03</v>
      </c>
    </row>
    <row r="61" spans="1:9" x14ac:dyDescent="0.25">
      <c r="A61" s="235" t="s">
        <v>27</v>
      </c>
      <c r="B61" s="236"/>
      <c r="C61" s="236"/>
      <c r="D61" s="97">
        <f>SUM(D55:D60)</f>
        <v>7.1599999999999997E-2</v>
      </c>
      <c r="E61" s="94">
        <f>SUM(E55:E60)</f>
        <v>109.31</v>
      </c>
    </row>
    <row r="62" spans="1:9" x14ac:dyDescent="0.25">
      <c r="A62" s="186" t="s">
        <v>189</v>
      </c>
      <c r="B62" s="187"/>
      <c r="C62" s="187"/>
      <c r="D62" s="187"/>
      <c r="E62" s="188"/>
    </row>
    <row r="63" spans="1:9" x14ac:dyDescent="0.25">
      <c r="A63" s="54" t="s">
        <v>24</v>
      </c>
      <c r="B63" s="238" t="s">
        <v>190</v>
      </c>
      <c r="C63" s="187"/>
      <c r="D63" s="239"/>
      <c r="E63" s="47" t="s">
        <v>10</v>
      </c>
    </row>
    <row r="64" spans="1:9" x14ac:dyDescent="0.25">
      <c r="A64" s="62" t="s">
        <v>0</v>
      </c>
      <c r="B64" s="192" t="s">
        <v>213</v>
      </c>
      <c r="C64" s="193"/>
      <c r="D64" s="64">
        <f>((1+1/3)/12)/12</f>
        <v>9.2999999999999992E-3</v>
      </c>
      <c r="E64" s="53">
        <v>35.799999999999997</v>
      </c>
      <c r="I64" s="110"/>
    </row>
    <row r="65" spans="1:9" x14ac:dyDescent="0.25">
      <c r="A65" s="62" t="s">
        <v>2</v>
      </c>
      <c r="B65" s="192" t="s">
        <v>191</v>
      </c>
      <c r="C65" s="193"/>
      <c r="D65" s="64">
        <v>1.66E-2</v>
      </c>
      <c r="E65" s="53">
        <v>63.89</v>
      </c>
      <c r="I65" s="110"/>
    </row>
    <row r="66" spans="1:9" x14ac:dyDescent="0.25">
      <c r="A66" s="62" t="s">
        <v>3</v>
      </c>
      <c r="B66" s="192" t="s">
        <v>192</v>
      </c>
      <c r="C66" s="193"/>
      <c r="D66" s="64">
        <f>(5/30)*(1/12)*3.24%*50%</f>
        <v>2.0000000000000001E-4</v>
      </c>
      <c r="E66" s="53">
        <v>0.77</v>
      </c>
      <c r="I66" s="110"/>
    </row>
    <row r="67" spans="1:9" x14ac:dyDescent="0.25">
      <c r="A67" s="62" t="s">
        <v>5</v>
      </c>
      <c r="B67" s="192" t="s">
        <v>193</v>
      </c>
      <c r="C67" s="193"/>
      <c r="D67" s="64">
        <f>(0.97/30)*(1/12)</f>
        <v>2.7000000000000001E-3</v>
      </c>
      <c r="E67" s="53">
        <v>10.39</v>
      </c>
      <c r="I67" s="110"/>
    </row>
    <row r="68" spans="1:9" x14ac:dyDescent="0.25">
      <c r="A68" s="62" t="s">
        <v>19</v>
      </c>
      <c r="B68" s="192" t="s">
        <v>194</v>
      </c>
      <c r="C68" s="193"/>
      <c r="D68" s="64">
        <v>2.9999999999999997E-4</v>
      </c>
      <c r="E68" s="53">
        <v>1.1499999999999999</v>
      </c>
      <c r="I68" s="110"/>
    </row>
    <row r="69" spans="1:9" x14ac:dyDescent="0.25">
      <c r="A69" s="62" t="s">
        <v>20</v>
      </c>
      <c r="B69" s="192" t="s">
        <v>218</v>
      </c>
      <c r="C69" s="193"/>
      <c r="D69" s="64">
        <v>0</v>
      </c>
      <c r="E69" s="53">
        <f>(E24+E52+E61+E82)*D69</f>
        <v>0</v>
      </c>
      <c r="I69" s="111"/>
    </row>
    <row r="70" spans="1:9" x14ac:dyDescent="0.25">
      <c r="A70" s="235" t="s">
        <v>195</v>
      </c>
      <c r="B70" s="236"/>
      <c r="C70" s="237"/>
      <c r="D70" s="97">
        <f>SUM(D64:D69)</f>
        <v>2.9100000000000001E-2</v>
      </c>
      <c r="E70" s="94">
        <f>SUM(E64:E69)</f>
        <v>112</v>
      </c>
      <c r="I70" s="110"/>
    </row>
    <row r="71" spans="1:9" x14ac:dyDescent="0.25">
      <c r="A71" s="186"/>
      <c r="B71" s="187"/>
      <c r="C71" s="187"/>
      <c r="D71" s="239"/>
      <c r="E71" s="53"/>
    </row>
    <row r="72" spans="1:9" x14ac:dyDescent="0.25">
      <c r="A72" s="54" t="s">
        <v>126</v>
      </c>
      <c r="B72" s="201" t="s">
        <v>196</v>
      </c>
      <c r="C72" s="202"/>
      <c r="D72" s="203"/>
      <c r="E72" s="47" t="s">
        <v>10</v>
      </c>
    </row>
    <row r="73" spans="1:9" x14ac:dyDescent="0.25">
      <c r="A73" s="62" t="s">
        <v>0</v>
      </c>
      <c r="B73" s="192" t="s">
        <v>197</v>
      </c>
      <c r="C73" s="193"/>
      <c r="D73" s="64">
        <v>0</v>
      </c>
      <c r="E73" s="53">
        <f>ROUND(+$E$25*D73,2)</f>
        <v>0</v>
      </c>
    </row>
    <row r="74" spans="1:9" x14ac:dyDescent="0.25">
      <c r="A74" s="235" t="s">
        <v>27</v>
      </c>
      <c r="B74" s="236"/>
      <c r="C74" s="236"/>
      <c r="D74" s="95">
        <f>D73</f>
        <v>0</v>
      </c>
      <c r="E74" s="94">
        <f>E73</f>
        <v>0</v>
      </c>
    </row>
    <row r="75" spans="1:9" x14ac:dyDescent="0.25">
      <c r="A75" s="186" t="s">
        <v>198</v>
      </c>
      <c r="B75" s="187"/>
      <c r="C75" s="187"/>
      <c r="D75" s="239"/>
      <c r="E75" s="53"/>
    </row>
    <row r="76" spans="1:9" x14ac:dyDescent="0.25">
      <c r="A76" s="54">
        <v>4</v>
      </c>
      <c r="B76" s="201" t="s">
        <v>32</v>
      </c>
      <c r="C76" s="202"/>
      <c r="D76" s="203"/>
      <c r="E76" s="47" t="s">
        <v>10</v>
      </c>
    </row>
    <row r="77" spans="1:9" x14ac:dyDescent="0.25">
      <c r="A77" s="62" t="s">
        <v>24</v>
      </c>
      <c r="B77" s="192" t="s">
        <v>190</v>
      </c>
      <c r="C77" s="193"/>
      <c r="D77" s="64">
        <f>D70</f>
        <v>2.9100000000000001E-2</v>
      </c>
      <c r="E77" s="53">
        <f>E70</f>
        <v>112</v>
      </c>
    </row>
    <row r="78" spans="1:9" x14ac:dyDescent="0.25">
      <c r="A78" s="62" t="s">
        <v>28</v>
      </c>
      <c r="B78" s="192" t="s">
        <v>196</v>
      </c>
      <c r="C78" s="193"/>
      <c r="D78" s="64">
        <f>D74</f>
        <v>0</v>
      </c>
      <c r="E78" s="53">
        <f>E74</f>
        <v>0</v>
      </c>
    </row>
    <row r="79" spans="1:9" x14ac:dyDescent="0.25">
      <c r="A79" s="235" t="s">
        <v>199</v>
      </c>
      <c r="B79" s="236"/>
      <c r="C79" s="237"/>
      <c r="D79" s="97">
        <f>SUM(D74:D78)</f>
        <v>2.9100000000000001E-2</v>
      </c>
      <c r="E79" s="94">
        <f>SUM(E77+E78)</f>
        <v>112</v>
      </c>
    </row>
    <row r="80" spans="1:9" x14ac:dyDescent="0.25">
      <c r="A80" s="186" t="s">
        <v>200</v>
      </c>
      <c r="B80" s="187"/>
      <c r="C80" s="187"/>
      <c r="D80" s="187"/>
      <c r="E80" s="188"/>
    </row>
    <row r="81" spans="1:5" x14ac:dyDescent="0.25">
      <c r="A81" s="54">
        <v>5</v>
      </c>
      <c r="B81" s="201" t="s">
        <v>201</v>
      </c>
      <c r="C81" s="202"/>
      <c r="D81" s="203"/>
      <c r="E81" s="47" t="s">
        <v>10</v>
      </c>
    </row>
    <row r="82" spans="1:5" x14ac:dyDescent="0.25">
      <c r="A82" s="62" t="s">
        <v>0</v>
      </c>
      <c r="B82" s="192" t="s">
        <v>210</v>
      </c>
      <c r="C82" s="241"/>
      <c r="D82" s="193"/>
      <c r="E82" s="53">
        <f>UNIFORME!F9</f>
        <v>63.33</v>
      </c>
    </row>
    <row r="83" spans="1:5" x14ac:dyDescent="0.25">
      <c r="A83" s="62" t="s">
        <v>2</v>
      </c>
      <c r="B83" s="192" t="s">
        <v>202</v>
      </c>
      <c r="C83" s="241"/>
      <c r="D83" s="193"/>
      <c r="E83" s="53"/>
    </row>
    <row r="84" spans="1:5" x14ac:dyDescent="0.25">
      <c r="A84" s="62" t="s">
        <v>3</v>
      </c>
      <c r="B84" s="192" t="s">
        <v>154</v>
      </c>
      <c r="C84" s="241"/>
      <c r="D84" s="193"/>
      <c r="E84" s="53"/>
    </row>
    <row r="85" spans="1:5" x14ac:dyDescent="0.25">
      <c r="A85" s="62" t="s">
        <v>5</v>
      </c>
      <c r="B85" s="192" t="s">
        <v>263</v>
      </c>
      <c r="C85" s="241"/>
      <c r="D85" s="193"/>
      <c r="E85" s="53">
        <v>0</v>
      </c>
    </row>
    <row r="86" spans="1:5" ht="15" customHeight="1" x14ac:dyDescent="0.25">
      <c r="A86" s="235" t="s">
        <v>203</v>
      </c>
      <c r="B86" s="236"/>
      <c r="C86" s="236"/>
      <c r="D86" s="237"/>
      <c r="E86" s="94">
        <f>SUM(E82:E85)</f>
        <v>63.33</v>
      </c>
    </row>
    <row r="87" spans="1:5" ht="31.5" customHeight="1" x14ac:dyDescent="0.25">
      <c r="A87" s="189" t="s">
        <v>33</v>
      </c>
      <c r="B87" s="234"/>
      <c r="C87" s="240" t="s">
        <v>27</v>
      </c>
      <c r="D87" s="234"/>
      <c r="E87" s="53">
        <f>SUM(E24+E52+E61+E79+E86)</f>
        <v>3341.11</v>
      </c>
    </row>
    <row r="88" spans="1:5" ht="27" customHeight="1" x14ac:dyDescent="0.25">
      <c r="A88" s="225" t="s">
        <v>220</v>
      </c>
      <c r="B88" s="225"/>
      <c r="C88" s="225"/>
      <c r="D88" s="225"/>
      <c r="E88" s="143">
        <f>E87</f>
        <v>3341.11</v>
      </c>
    </row>
    <row r="89" spans="1:5" x14ac:dyDescent="0.25">
      <c r="A89" s="186" t="s">
        <v>204</v>
      </c>
      <c r="B89" s="187"/>
      <c r="C89" s="187"/>
      <c r="D89" s="187"/>
      <c r="E89" s="188"/>
    </row>
    <row r="90" spans="1:5" x14ac:dyDescent="0.25">
      <c r="A90" s="54">
        <v>6</v>
      </c>
      <c r="B90" s="201" t="s">
        <v>34</v>
      </c>
      <c r="C90" s="202"/>
      <c r="D90" s="203"/>
      <c r="E90" s="47" t="s">
        <v>10</v>
      </c>
    </row>
    <row r="91" spans="1:5" x14ac:dyDescent="0.25">
      <c r="A91" s="54" t="s">
        <v>0</v>
      </c>
      <c r="B91" s="63" t="s">
        <v>35</v>
      </c>
      <c r="C91" s="216">
        <v>0.03</v>
      </c>
      <c r="D91" s="217"/>
      <c r="E91" s="53">
        <f>+E88*C91</f>
        <v>100.23</v>
      </c>
    </row>
    <row r="92" spans="1:5" x14ac:dyDescent="0.25">
      <c r="A92" s="54" t="s">
        <v>2</v>
      </c>
      <c r="B92" s="63" t="s">
        <v>36</v>
      </c>
      <c r="C92" s="216">
        <v>6.7900000000000002E-2</v>
      </c>
      <c r="D92" s="217"/>
      <c r="E92" s="53">
        <f>C92*(+E88+E91)</f>
        <v>233.67</v>
      </c>
    </row>
    <row r="93" spans="1:5" ht="30" customHeight="1" x14ac:dyDescent="0.25">
      <c r="A93" s="218" t="s">
        <v>3</v>
      </c>
      <c r="B93" s="220" t="s">
        <v>267</v>
      </c>
      <c r="C93" s="221"/>
      <c r="D93" s="121">
        <f>(100-14.25)/100</f>
        <v>0.85750000000000004</v>
      </c>
      <c r="E93" s="53">
        <f>+E88+E91+E92</f>
        <v>3675.01</v>
      </c>
    </row>
    <row r="94" spans="1:5" x14ac:dyDescent="0.25">
      <c r="A94" s="218"/>
      <c r="B94" s="69" t="s">
        <v>37</v>
      </c>
      <c r="C94" s="68"/>
      <c r="D94" s="68"/>
      <c r="E94" s="70">
        <f>+E93/D93</f>
        <v>4285.7299999999996</v>
      </c>
    </row>
    <row r="95" spans="1:5" x14ac:dyDescent="0.25">
      <c r="A95" s="218"/>
      <c r="B95" s="71" t="s">
        <v>38</v>
      </c>
      <c r="C95" s="72"/>
      <c r="D95" s="73"/>
      <c r="E95" s="53"/>
    </row>
    <row r="96" spans="1:5" x14ac:dyDescent="0.25">
      <c r="A96" s="218"/>
      <c r="B96" s="74" t="s">
        <v>211</v>
      </c>
      <c r="C96" s="75"/>
      <c r="D96" s="64">
        <v>1.6500000000000001E-2</v>
      </c>
      <c r="E96" s="53">
        <f>+E94*D96</f>
        <v>70.709999999999994</v>
      </c>
    </row>
    <row r="97" spans="1:5" x14ac:dyDescent="0.25">
      <c r="A97" s="218"/>
      <c r="B97" s="74" t="s">
        <v>212</v>
      </c>
      <c r="C97" s="75"/>
      <c r="D97" s="64">
        <v>7.5999999999999998E-2</v>
      </c>
      <c r="E97" s="53">
        <f>+E94*D97</f>
        <v>325.72000000000003</v>
      </c>
    </row>
    <row r="98" spans="1:5" x14ac:dyDescent="0.25">
      <c r="A98" s="218"/>
      <c r="B98" s="76" t="s">
        <v>39</v>
      </c>
      <c r="C98" s="77"/>
      <c r="D98" s="65"/>
      <c r="E98" s="53"/>
    </row>
    <row r="99" spans="1:5" x14ac:dyDescent="0.25">
      <c r="A99" s="218"/>
      <c r="B99" s="76" t="s">
        <v>40</v>
      </c>
      <c r="C99" s="77"/>
      <c r="D99" s="78"/>
      <c r="E99" s="53"/>
    </row>
    <row r="100" spans="1:5" ht="15.75" thickBot="1" x14ac:dyDescent="0.3">
      <c r="A100" s="219"/>
      <c r="B100" s="79" t="s">
        <v>268</v>
      </c>
      <c r="C100" s="80"/>
      <c r="D100" s="81">
        <v>0.05</v>
      </c>
      <c r="E100" s="82">
        <f>+E94*D100</f>
        <v>214.29</v>
      </c>
    </row>
    <row r="101" spans="1:5" ht="15.75" thickBot="1" x14ac:dyDescent="0.3">
      <c r="A101" s="83"/>
      <c r="B101" s="84" t="s">
        <v>41</v>
      </c>
      <c r="C101" s="84"/>
      <c r="D101" s="85">
        <f>SUM(D96:D100)</f>
        <v>0.14249999999999999</v>
      </c>
      <c r="E101" s="86">
        <f>SUM(E96:E100)</f>
        <v>610.72</v>
      </c>
    </row>
    <row r="102" spans="1:5" x14ac:dyDescent="0.25">
      <c r="A102" s="222" t="s">
        <v>42</v>
      </c>
      <c r="B102" s="223"/>
      <c r="C102" s="223"/>
      <c r="D102" s="224"/>
      <c r="E102" s="98">
        <f>+E91+E92+E101</f>
        <v>944.62</v>
      </c>
    </row>
    <row r="103" spans="1:5" x14ac:dyDescent="0.25">
      <c r="A103" s="189" t="s">
        <v>43</v>
      </c>
      <c r="B103" s="190"/>
      <c r="C103" s="190"/>
      <c r="D103" s="234"/>
      <c r="E103" s="47" t="s">
        <v>10</v>
      </c>
    </row>
    <row r="104" spans="1:5" x14ac:dyDescent="0.25">
      <c r="A104" s="54" t="s">
        <v>0</v>
      </c>
      <c r="B104" s="201" t="s">
        <v>44</v>
      </c>
      <c r="C104" s="226"/>
      <c r="D104" s="227"/>
      <c r="E104" s="53">
        <f>+E24</f>
        <v>1501.7</v>
      </c>
    </row>
    <row r="105" spans="1:5" x14ac:dyDescent="0.25">
      <c r="A105" s="54" t="s">
        <v>2</v>
      </c>
      <c r="B105" s="201" t="s">
        <v>205</v>
      </c>
      <c r="C105" s="226"/>
      <c r="D105" s="227"/>
      <c r="E105" s="53">
        <f>E52</f>
        <v>1554.77</v>
      </c>
    </row>
    <row r="106" spans="1:5" x14ac:dyDescent="0.25">
      <c r="A106" s="54" t="s">
        <v>3</v>
      </c>
      <c r="B106" s="201" t="s">
        <v>206</v>
      </c>
      <c r="C106" s="226"/>
      <c r="D106" s="227"/>
      <c r="E106" s="53">
        <f>E61</f>
        <v>109.31</v>
      </c>
    </row>
    <row r="107" spans="1:5" x14ac:dyDescent="0.25">
      <c r="A107" s="54" t="s">
        <v>5</v>
      </c>
      <c r="B107" s="201" t="s">
        <v>207</v>
      </c>
      <c r="C107" s="226"/>
      <c r="D107" s="227"/>
      <c r="E107" s="53">
        <f>E79</f>
        <v>112</v>
      </c>
    </row>
    <row r="108" spans="1:5" x14ac:dyDescent="0.25">
      <c r="A108" s="54" t="s">
        <v>19</v>
      </c>
      <c r="B108" s="201" t="s">
        <v>208</v>
      </c>
      <c r="C108" s="226"/>
      <c r="D108" s="227"/>
      <c r="E108" s="53">
        <f>E86</f>
        <v>63.33</v>
      </c>
    </row>
    <row r="109" spans="1:5" x14ac:dyDescent="0.25">
      <c r="A109" s="231" t="s">
        <v>45</v>
      </c>
      <c r="B109" s="232"/>
      <c r="C109" s="233"/>
      <c r="D109" s="67"/>
      <c r="E109" s="53">
        <f>SUM(E104:E108)</f>
        <v>3341.11</v>
      </c>
    </row>
    <row r="110" spans="1:5" x14ac:dyDescent="0.25">
      <c r="A110" s="54" t="s">
        <v>20</v>
      </c>
      <c r="B110" s="201" t="s">
        <v>46</v>
      </c>
      <c r="C110" s="226"/>
      <c r="D110" s="227"/>
      <c r="E110" s="53">
        <f>+E102</f>
        <v>944.62</v>
      </c>
    </row>
    <row r="111" spans="1:5" ht="15.75" thickBot="1" x14ac:dyDescent="0.3">
      <c r="A111" s="228" t="s">
        <v>47</v>
      </c>
      <c r="B111" s="229"/>
      <c r="C111" s="229"/>
      <c r="D111" s="230"/>
      <c r="E111" s="99">
        <f>+E109+E110</f>
        <v>4285.7299999999996</v>
      </c>
    </row>
    <row r="112" spans="1:5" x14ac:dyDescent="0.25">
      <c r="A112" s="87"/>
      <c r="B112" s="88"/>
      <c r="C112" s="88"/>
      <c r="D112" s="88"/>
      <c r="E112" s="89"/>
    </row>
    <row r="113" spans="1:5" x14ac:dyDescent="0.25">
      <c r="A113" s="90"/>
      <c r="B113" s="91"/>
      <c r="C113" s="91"/>
      <c r="D113" s="92"/>
      <c r="E113" s="93"/>
    </row>
  </sheetData>
  <mergeCells count="102">
    <mergeCell ref="A15:E15"/>
    <mergeCell ref="A1:E1"/>
    <mergeCell ref="A2:E2"/>
    <mergeCell ref="C3:E3"/>
    <mergeCell ref="C4:E4"/>
    <mergeCell ref="C5:E5"/>
    <mergeCell ref="C6:E6"/>
    <mergeCell ref="A7:E7"/>
    <mergeCell ref="A8:E8"/>
    <mergeCell ref="A9:E9"/>
    <mergeCell ref="B54:D54"/>
    <mergeCell ref="B26:D26"/>
    <mergeCell ref="A29:C29"/>
    <mergeCell ref="A30:E30"/>
    <mergeCell ref="B31:D31"/>
    <mergeCell ref="A40:C40"/>
    <mergeCell ref="B41:D41"/>
    <mergeCell ref="A47:D47"/>
    <mergeCell ref="A48:D48"/>
    <mergeCell ref="B49:D49"/>
    <mergeCell ref="A52:C52"/>
    <mergeCell ref="A53:E53"/>
    <mergeCell ref="B50:D50"/>
    <mergeCell ref="B51:D51"/>
    <mergeCell ref="B42:C42"/>
    <mergeCell ref="B27:C27"/>
    <mergeCell ref="B28:C28"/>
    <mergeCell ref="A86:D86"/>
    <mergeCell ref="A89:E89"/>
    <mergeCell ref="B81:D81"/>
    <mergeCell ref="A61:C61"/>
    <mergeCell ref="B63:D63"/>
    <mergeCell ref="A70:C70"/>
    <mergeCell ref="A71:D71"/>
    <mergeCell ref="B72:D72"/>
    <mergeCell ref="A74:C74"/>
    <mergeCell ref="A75:D75"/>
    <mergeCell ref="B76:D76"/>
    <mergeCell ref="A79:C79"/>
    <mergeCell ref="B68:C68"/>
    <mergeCell ref="B69:C69"/>
    <mergeCell ref="B73:C73"/>
    <mergeCell ref="B77:C77"/>
    <mergeCell ref="A87:B87"/>
    <mergeCell ref="C87:D87"/>
    <mergeCell ref="B78:C78"/>
    <mergeCell ref="B82:D82"/>
    <mergeCell ref="B83:D83"/>
    <mergeCell ref="B84:D84"/>
    <mergeCell ref="B85:D85"/>
    <mergeCell ref="A80:E80"/>
    <mergeCell ref="B90:D90"/>
    <mergeCell ref="C91:D91"/>
    <mergeCell ref="C92:D92"/>
    <mergeCell ref="A93:A100"/>
    <mergeCell ref="B93:C93"/>
    <mergeCell ref="A102:D102"/>
    <mergeCell ref="A88:D88"/>
    <mergeCell ref="B110:D110"/>
    <mergeCell ref="A111:D111"/>
    <mergeCell ref="B104:D104"/>
    <mergeCell ref="B105:D105"/>
    <mergeCell ref="B106:D106"/>
    <mergeCell ref="B107:D107"/>
    <mergeCell ref="B108:D108"/>
    <mergeCell ref="A109:C109"/>
    <mergeCell ref="A103:D103"/>
    <mergeCell ref="B55:C55"/>
    <mergeCell ref="B64:C64"/>
    <mergeCell ref="B65:C65"/>
    <mergeCell ref="B66:C66"/>
    <mergeCell ref="B67:C67"/>
    <mergeCell ref="A62:E62"/>
    <mergeCell ref="B56:C56"/>
    <mergeCell ref="B57:C57"/>
    <mergeCell ref="B58:C58"/>
    <mergeCell ref="B59:C59"/>
    <mergeCell ref="B60:C60"/>
    <mergeCell ref="A25:E25"/>
    <mergeCell ref="A10:E10"/>
    <mergeCell ref="B43:C43"/>
    <mergeCell ref="B44:C44"/>
    <mergeCell ref="B45:C45"/>
    <mergeCell ref="B46:C46"/>
    <mergeCell ref="B32:C32"/>
    <mergeCell ref="B33:C33"/>
    <mergeCell ref="B34:C34"/>
    <mergeCell ref="B35:C35"/>
    <mergeCell ref="B36:C36"/>
    <mergeCell ref="B37:C37"/>
    <mergeCell ref="B38:C38"/>
    <mergeCell ref="B39:C39"/>
    <mergeCell ref="C14:E14"/>
    <mergeCell ref="B16:D16"/>
    <mergeCell ref="C17:D17"/>
    <mergeCell ref="C20:D20"/>
    <mergeCell ref="C21:D21"/>
    <mergeCell ref="C22:D22"/>
    <mergeCell ref="C23:D23"/>
    <mergeCell ref="A24:D24"/>
    <mergeCell ref="C13:E13"/>
    <mergeCell ref="C11:E11"/>
  </mergeCells>
  <hyperlinks>
    <hyperlink ref="B39" r:id="rId1" display="08 - Sebrae 0,3% ou 0,6% - IN nº 03, MPS/SRP/2005, Anexo II e III ver código da Tabela"/>
  </hyperlinks>
  <pageMargins left="0.51181102362204722" right="0.51181102362204722" top="0.59055118110236227" bottom="0.59055118110236227" header="0.31496062992125984" footer="0.31496062992125984"/>
  <pageSetup paperSize="9" scale="79" orientation="portrait" r:id="rId2"/>
  <rowBreaks count="1" manualBreakCount="1">
    <brk id="61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12"/>
  <sheetViews>
    <sheetView showGridLines="0" tabSelected="1" showWhiteSpace="0" view="pageBreakPreview" topLeftCell="A70" zoomScale="90" zoomScaleNormal="90" zoomScaleSheetLayoutView="90" workbookViewId="0">
      <selection activeCell="H40" sqref="H40"/>
    </sheetView>
  </sheetViews>
  <sheetFormatPr defaultRowHeight="15" x14ac:dyDescent="0.25"/>
  <cols>
    <col min="1" max="1" width="5.5703125" customWidth="1"/>
    <col min="2" max="2" width="48.7109375" customWidth="1"/>
    <col min="3" max="3" width="28.85546875" customWidth="1"/>
    <col min="4" max="4" width="17.7109375" customWidth="1"/>
    <col min="5" max="5" width="20.85546875" customWidth="1"/>
    <col min="9" max="9" width="11.140625" bestFit="1" customWidth="1"/>
  </cols>
  <sheetData>
    <row r="1" spans="1:5" ht="21.75" thickBot="1" x14ac:dyDescent="0.3">
      <c r="A1" s="251" t="s">
        <v>127</v>
      </c>
      <c r="B1" s="252"/>
      <c r="C1" s="252"/>
      <c r="D1" s="252"/>
      <c r="E1" s="253"/>
    </row>
    <row r="2" spans="1:5" x14ac:dyDescent="0.25">
      <c r="A2" s="254" t="s">
        <v>163</v>
      </c>
      <c r="B2" s="255"/>
      <c r="C2" s="255"/>
      <c r="D2" s="255"/>
      <c r="E2" s="256"/>
    </row>
    <row r="3" spans="1:5" x14ac:dyDescent="0.25">
      <c r="A3" s="45" t="s">
        <v>0</v>
      </c>
      <c r="B3" s="46" t="s">
        <v>1</v>
      </c>
      <c r="C3" s="257" t="s">
        <v>284</v>
      </c>
      <c r="D3" s="258"/>
      <c r="E3" s="259"/>
    </row>
    <row r="4" spans="1:5" x14ac:dyDescent="0.25">
      <c r="A4" s="45" t="s">
        <v>2</v>
      </c>
      <c r="B4" s="46" t="s">
        <v>132</v>
      </c>
      <c r="C4" s="260" t="s">
        <v>164</v>
      </c>
      <c r="D4" s="261"/>
      <c r="E4" s="262"/>
    </row>
    <row r="5" spans="1:5" ht="25.5" x14ac:dyDescent="0.25">
      <c r="A5" s="45" t="s">
        <v>3</v>
      </c>
      <c r="B5" s="46" t="s">
        <v>4</v>
      </c>
      <c r="C5" s="260" t="s">
        <v>283</v>
      </c>
      <c r="D5" s="261"/>
      <c r="E5" s="262"/>
    </row>
    <row r="6" spans="1:5" x14ac:dyDescent="0.25">
      <c r="A6" s="45" t="s">
        <v>5</v>
      </c>
      <c r="B6" s="46" t="s">
        <v>165</v>
      </c>
      <c r="C6" s="260">
        <v>12</v>
      </c>
      <c r="D6" s="261"/>
      <c r="E6" s="262"/>
    </row>
    <row r="7" spans="1:5" x14ac:dyDescent="0.25">
      <c r="A7" s="263" t="s">
        <v>6</v>
      </c>
      <c r="B7" s="264"/>
      <c r="C7" s="264"/>
      <c r="D7" s="264"/>
      <c r="E7" s="265"/>
    </row>
    <row r="8" spans="1:5" x14ac:dyDescent="0.25">
      <c r="A8" s="266" t="s">
        <v>7</v>
      </c>
      <c r="B8" s="267"/>
      <c r="C8" s="267"/>
      <c r="D8" s="267"/>
      <c r="E8" s="268"/>
    </row>
    <row r="9" spans="1:5" x14ac:dyDescent="0.25">
      <c r="A9" s="254" t="s">
        <v>8</v>
      </c>
      <c r="B9" s="269"/>
      <c r="C9" s="269"/>
      <c r="D9" s="269"/>
      <c r="E9" s="270"/>
    </row>
    <row r="10" spans="1:5" ht="15" customHeight="1" x14ac:dyDescent="0.25">
      <c r="A10" s="189" t="s">
        <v>9</v>
      </c>
      <c r="B10" s="190"/>
      <c r="C10" s="190"/>
      <c r="D10" s="190"/>
      <c r="E10" s="191"/>
    </row>
    <row r="11" spans="1:5" ht="27.75" customHeight="1" x14ac:dyDescent="0.25">
      <c r="A11" s="45"/>
      <c r="B11" s="100" t="s">
        <v>128</v>
      </c>
      <c r="C11" s="213" t="s">
        <v>131</v>
      </c>
      <c r="D11" s="214"/>
      <c r="E11" s="215"/>
    </row>
    <row r="12" spans="1:5" x14ac:dyDescent="0.25">
      <c r="A12" s="45">
        <v>2</v>
      </c>
      <c r="B12" s="48" t="s">
        <v>11</v>
      </c>
      <c r="C12" s="49"/>
      <c r="D12" s="50"/>
      <c r="E12" s="51">
        <v>1743.48</v>
      </c>
    </row>
    <row r="13" spans="1:5" x14ac:dyDescent="0.25">
      <c r="A13" s="45">
        <v>3</v>
      </c>
      <c r="B13" s="100" t="s">
        <v>12</v>
      </c>
      <c r="C13" s="213" t="s">
        <v>261</v>
      </c>
      <c r="D13" s="214"/>
      <c r="E13" s="215"/>
    </row>
    <row r="14" spans="1:5" x14ac:dyDescent="0.25">
      <c r="A14" s="45">
        <v>4</v>
      </c>
      <c r="B14" s="52" t="s">
        <v>13</v>
      </c>
      <c r="C14" s="198">
        <v>45457</v>
      </c>
      <c r="D14" s="199"/>
      <c r="E14" s="200"/>
    </row>
    <row r="15" spans="1:5" x14ac:dyDescent="0.25">
      <c r="A15" s="186" t="s">
        <v>14</v>
      </c>
      <c r="B15" s="187"/>
      <c r="C15" s="187"/>
      <c r="D15" s="187"/>
      <c r="E15" s="188"/>
    </row>
    <row r="16" spans="1:5" x14ac:dyDescent="0.25">
      <c r="A16" s="54">
        <v>1</v>
      </c>
      <c r="B16" s="201" t="s">
        <v>15</v>
      </c>
      <c r="C16" s="202"/>
      <c r="D16" s="203"/>
      <c r="E16" s="47" t="s">
        <v>10</v>
      </c>
    </row>
    <row r="17" spans="1:5" x14ac:dyDescent="0.25">
      <c r="A17" s="56" t="s">
        <v>0</v>
      </c>
      <c r="B17" s="57" t="s">
        <v>16</v>
      </c>
      <c r="C17" s="204"/>
      <c r="D17" s="205"/>
      <c r="E17" s="58">
        <f>+E12</f>
        <v>1743.48</v>
      </c>
    </row>
    <row r="18" spans="1:5" x14ac:dyDescent="0.25">
      <c r="A18" s="56" t="s">
        <v>2</v>
      </c>
      <c r="B18" s="57" t="s">
        <v>17</v>
      </c>
      <c r="C18" s="112">
        <v>0</v>
      </c>
      <c r="D18" s="113">
        <f>E17</f>
        <v>1743.48</v>
      </c>
      <c r="E18" s="59">
        <f>E17*C18</f>
        <v>0</v>
      </c>
    </row>
    <row r="19" spans="1:5" x14ac:dyDescent="0.25">
      <c r="A19" s="56" t="s">
        <v>3</v>
      </c>
      <c r="B19" s="105" t="s">
        <v>215</v>
      </c>
      <c r="C19" s="112">
        <v>0.4</v>
      </c>
      <c r="D19" s="113">
        <v>1518</v>
      </c>
      <c r="E19" s="59">
        <f>D19*C19</f>
        <v>607.20000000000005</v>
      </c>
    </row>
    <row r="20" spans="1:5" x14ac:dyDescent="0.25">
      <c r="A20" s="56" t="s">
        <v>5</v>
      </c>
      <c r="B20" s="57" t="s">
        <v>18</v>
      </c>
      <c r="C20" s="206">
        <v>0</v>
      </c>
      <c r="D20" s="207"/>
      <c r="E20" s="59">
        <f>(E17+E18+E19)*C20*(7/12)</f>
        <v>0</v>
      </c>
    </row>
    <row r="21" spans="1:5" x14ac:dyDescent="0.25">
      <c r="A21" s="56" t="s">
        <v>19</v>
      </c>
      <c r="B21" s="57" t="s">
        <v>216</v>
      </c>
      <c r="C21" s="206"/>
      <c r="D21" s="207"/>
      <c r="E21" s="59">
        <f>(E17+E18+E19)*(1/12)*(1+C20)*0</f>
        <v>0</v>
      </c>
    </row>
    <row r="22" spans="1:5" x14ac:dyDescent="0.25">
      <c r="A22" s="56" t="s">
        <v>20</v>
      </c>
      <c r="B22" s="60" t="s">
        <v>129</v>
      </c>
      <c r="C22" s="208"/>
      <c r="D22" s="209"/>
      <c r="E22" s="59">
        <v>0</v>
      </c>
    </row>
    <row r="23" spans="1:5" x14ac:dyDescent="0.25">
      <c r="A23" s="56" t="s">
        <v>21</v>
      </c>
      <c r="B23" s="61" t="s">
        <v>130</v>
      </c>
      <c r="C23" s="208"/>
      <c r="D23" s="209"/>
      <c r="E23" s="59">
        <v>0</v>
      </c>
    </row>
    <row r="24" spans="1:5" x14ac:dyDescent="0.25">
      <c r="A24" s="210" t="s">
        <v>22</v>
      </c>
      <c r="B24" s="211"/>
      <c r="C24" s="211"/>
      <c r="D24" s="212"/>
      <c r="E24" s="94">
        <f>SUM(E17:E23)</f>
        <v>2350.6799999999998</v>
      </c>
    </row>
    <row r="25" spans="1:5" x14ac:dyDescent="0.25">
      <c r="A25" s="186" t="s">
        <v>48</v>
      </c>
      <c r="B25" s="187"/>
      <c r="C25" s="187"/>
      <c r="D25" s="187"/>
      <c r="E25" s="188"/>
    </row>
    <row r="26" spans="1:5" x14ac:dyDescent="0.25">
      <c r="A26" s="54" t="s">
        <v>137</v>
      </c>
      <c r="B26" s="201" t="s">
        <v>166</v>
      </c>
      <c r="C26" s="202"/>
      <c r="D26" s="203"/>
      <c r="E26" s="47" t="s">
        <v>10</v>
      </c>
    </row>
    <row r="27" spans="1:5" x14ac:dyDescent="0.25">
      <c r="A27" s="62" t="s">
        <v>0</v>
      </c>
      <c r="B27" s="192" t="s">
        <v>29</v>
      </c>
      <c r="C27" s="193"/>
      <c r="D27" s="64">
        <f>1/12</f>
        <v>8.3299999999999999E-2</v>
      </c>
      <c r="E27" s="53">
        <f>($E$24*D27)</f>
        <v>195.81</v>
      </c>
    </row>
    <row r="28" spans="1:5" x14ac:dyDescent="0.25">
      <c r="A28" s="62" t="s">
        <v>2</v>
      </c>
      <c r="B28" s="192" t="s">
        <v>276</v>
      </c>
      <c r="C28" s="193"/>
      <c r="D28" s="64">
        <v>0.1111</v>
      </c>
      <c r="E28" s="53">
        <f>($E$24*D28)</f>
        <v>261.16000000000003</v>
      </c>
    </row>
    <row r="29" spans="1:5" x14ac:dyDescent="0.25">
      <c r="A29" s="210" t="s">
        <v>27</v>
      </c>
      <c r="B29" s="211"/>
      <c r="C29" s="242"/>
      <c r="D29" s="95">
        <f>SUM(D27:D28)</f>
        <v>0.19439999999999999</v>
      </c>
      <c r="E29" s="94">
        <f>SUM(E27:E28)</f>
        <v>456.97</v>
      </c>
    </row>
    <row r="30" spans="1:5" ht="26.25" customHeight="1" x14ac:dyDescent="0.25">
      <c r="A30" s="243" t="s">
        <v>167</v>
      </c>
      <c r="B30" s="244"/>
      <c r="C30" s="244"/>
      <c r="D30" s="244"/>
      <c r="E30" s="245"/>
    </row>
    <row r="31" spans="1:5" x14ac:dyDescent="0.25">
      <c r="A31" s="54" t="s">
        <v>138</v>
      </c>
      <c r="B31" s="201" t="s">
        <v>25</v>
      </c>
      <c r="C31" s="202"/>
      <c r="D31" s="203"/>
      <c r="E31" s="47" t="s">
        <v>10</v>
      </c>
    </row>
    <row r="32" spans="1:5" x14ac:dyDescent="0.25">
      <c r="A32" s="62" t="s">
        <v>0</v>
      </c>
      <c r="B32" s="194" t="s">
        <v>168</v>
      </c>
      <c r="C32" s="195"/>
      <c r="D32" s="64">
        <v>0.2</v>
      </c>
      <c r="E32" s="53">
        <f>(E24+E29)*D32</f>
        <v>561.53</v>
      </c>
    </row>
    <row r="33" spans="1:6" x14ac:dyDescent="0.25">
      <c r="A33" s="62" t="s">
        <v>2</v>
      </c>
      <c r="B33" s="194" t="s">
        <v>169</v>
      </c>
      <c r="C33" s="195"/>
      <c r="D33" s="64">
        <v>1.4999999999999999E-2</v>
      </c>
      <c r="E33" s="53">
        <f>(E24+E29)*D33</f>
        <v>42.11</v>
      </c>
    </row>
    <row r="34" spans="1:6" x14ac:dyDescent="0.25">
      <c r="A34" s="62" t="s">
        <v>3</v>
      </c>
      <c r="B34" s="194" t="s">
        <v>264</v>
      </c>
      <c r="C34" s="195"/>
      <c r="D34" s="64">
        <v>0.01</v>
      </c>
      <c r="E34" s="53">
        <f>(E24+E29)*D34</f>
        <v>28.08</v>
      </c>
    </row>
    <row r="35" spans="1:6" x14ac:dyDescent="0.25">
      <c r="A35" s="62" t="s">
        <v>5</v>
      </c>
      <c r="B35" s="194" t="s">
        <v>170</v>
      </c>
      <c r="C35" s="195"/>
      <c r="D35" s="64">
        <v>2E-3</v>
      </c>
      <c r="E35" s="53">
        <f>(E24+E29)*D35</f>
        <v>5.62</v>
      </c>
    </row>
    <row r="36" spans="1:6" x14ac:dyDescent="0.25">
      <c r="A36" s="62" t="s">
        <v>19</v>
      </c>
      <c r="B36" s="194" t="s">
        <v>265</v>
      </c>
      <c r="C36" s="195"/>
      <c r="D36" s="64">
        <v>2.5000000000000001E-2</v>
      </c>
      <c r="E36" s="53">
        <f>(E24+E29)*D36</f>
        <v>70.19</v>
      </c>
    </row>
    <row r="37" spans="1:6" x14ac:dyDescent="0.25">
      <c r="A37" s="62" t="s">
        <v>20</v>
      </c>
      <c r="B37" s="194" t="s">
        <v>171</v>
      </c>
      <c r="C37" s="195"/>
      <c r="D37" s="64">
        <v>0.08</v>
      </c>
      <c r="E37" s="53">
        <f>(E24+E29)*D37</f>
        <v>224.61</v>
      </c>
    </row>
    <row r="38" spans="1:6" x14ac:dyDescent="0.25">
      <c r="A38" s="62" t="s">
        <v>21</v>
      </c>
      <c r="B38" s="194" t="s">
        <v>172</v>
      </c>
      <c r="C38" s="195"/>
      <c r="D38" s="64">
        <v>0.03</v>
      </c>
      <c r="E38" s="53">
        <v>67.45</v>
      </c>
    </row>
    <row r="39" spans="1:6" x14ac:dyDescent="0.25">
      <c r="A39" s="106" t="s">
        <v>26</v>
      </c>
      <c r="B39" s="196" t="s">
        <v>173</v>
      </c>
      <c r="C39" s="197"/>
      <c r="D39" s="107">
        <v>6.0000000000000001E-3</v>
      </c>
      <c r="E39" s="108">
        <f>(E24+E29)*D39</f>
        <v>16.850000000000001</v>
      </c>
    </row>
    <row r="40" spans="1:6" x14ac:dyDescent="0.25">
      <c r="A40" s="210" t="s">
        <v>27</v>
      </c>
      <c r="B40" s="211"/>
      <c r="C40" s="242"/>
      <c r="D40" s="95">
        <f>SUM(D32:D39)</f>
        <v>0.36799999999999999</v>
      </c>
      <c r="E40" s="94">
        <f>SUM(E32:E39)</f>
        <v>1016.44</v>
      </c>
    </row>
    <row r="41" spans="1:6" x14ac:dyDescent="0.25">
      <c r="A41" s="54" t="s">
        <v>139</v>
      </c>
      <c r="B41" s="201" t="s">
        <v>174</v>
      </c>
      <c r="C41" s="202"/>
      <c r="D41" s="203"/>
      <c r="E41" s="47" t="s">
        <v>10</v>
      </c>
    </row>
    <row r="42" spans="1:6" x14ac:dyDescent="0.25">
      <c r="A42" s="62" t="s">
        <v>0</v>
      </c>
      <c r="B42" s="192" t="s">
        <v>292</v>
      </c>
      <c r="C42" s="193"/>
      <c r="D42" s="114">
        <v>3</v>
      </c>
      <c r="E42" s="66">
        <f>(44*D42)-(E12*0.06)</f>
        <v>27.39</v>
      </c>
    </row>
    <row r="43" spans="1:6" x14ac:dyDescent="0.25">
      <c r="A43" s="62" t="s">
        <v>2</v>
      </c>
      <c r="B43" s="192" t="s">
        <v>209</v>
      </c>
      <c r="C43" s="193"/>
      <c r="D43" s="115">
        <v>626.94000000000005</v>
      </c>
      <c r="E43" s="58">
        <f>(D43)-(D43*0.99%)</f>
        <v>620.73</v>
      </c>
    </row>
    <row r="44" spans="1:6" x14ac:dyDescent="0.25">
      <c r="A44" s="62" t="s">
        <v>3</v>
      </c>
      <c r="B44" s="192" t="s">
        <v>175</v>
      </c>
      <c r="C44" s="193"/>
      <c r="D44" s="116"/>
      <c r="E44" s="66">
        <v>0</v>
      </c>
    </row>
    <row r="45" spans="1:6" x14ac:dyDescent="0.25">
      <c r="A45" s="62" t="s">
        <v>5</v>
      </c>
      <c r="B45" s="192" t="s">
        <v>176</v>
      </c>
      <c r="C45" s="193"/>
      <c r="D45" s="117">
        <v>0.5</v>
      </c>
      <c r="E45" s="59">
        <f>(((E12*50%)*0.0199)*2)/12</f>
        <v>2.89</v>
      </c>
    </row>
    <row r="46" spans="1:6" x14ac:dyDescent="0.25">
      <c r="A46" s="62" t="s">
        <v>19</v>
      </c>
      <c r="B46" s="192" t="s">
        <v>177</v>
      </c>
      <c r="C46" s="193"/>
      <c r="D46" s="115">
        <v>34733.21</v>
      </c>
      <c r="E46" s="53">
        <v>44.35</v>
      </c>
      <c r="F46" t="s">
        <v>291</v>
      </c>
    </row>
    <row r="47" spans="1:6" x14ac:dyDescent="0.25">
      <c r="A47" s="210" t="s">
        <v>23</v>
      </c>
      <c r="B47" s="211"/>
      <c r="C47" s="211"/>
      <c r="D47" s="212"/>
      <c r="E47" s="94">
        <f>SUM(E42:E46)</f>
        <v>695.36</v>
      </c>
    </row>
    <row r="48" spans="1:6" x14ac:dyDescent="0.25">
      <c r="A48" s="186" t="s">
        <v>178</v>
      </c>
      <c r="B48" s="187"/>
      <c r="C48" s="187"/>
      <c r="D48" s="239"/>
      <c r="E48" s="47" t="s">
        <v>10</v>
      </c>
    </row>
    <row r="49" spans="1:9" x14ac:dyDescent="0.25">
      <c r="A49" s="54" t="s">
        <v>137</v>
      </c>
      <c r="B49" s="246" t="s">
        <v>179</v>
      </c>
      <c r="C49" s="247"/>
      <c r="D49" s="248"/>
      <c r="E49" s="55">
        <f>E29</f>
        <v>456.97</v>
      </c>
    </row>
    <row r="50" spans="1:9" x14ac:dyDescent="0.25">
      <c r="A50" s="54" t="s">
        <v>138</v>
      </c>
      <c r="B50" s="246" t="s">
        <v>180</v>
      </c>
      <c r="C50" s="249"/>
      <c r="D50" s="250"/>
      <c r="E50" s="53">
        <f>E40</f>
        <v>1016.44</v>
      </c>
    </row>
    <row r="51" spans="1:9" x14ac:dyDescent="0.25">
      <c r="A51" s="54" t="s">
        <v>139</v>
      </c>
      <c r="B51" s="246" t="s">
        <v>181</v>
      </c>
      <c r="C51" s="249"/>
      <c r="D51" s="250"/>
      <c r="E51" s="53">
        <f>E47</f>
        <v>695.36</v>
      </c>
    </row>
    <row r="52" spans="1:9" x14ac:dyDescent="0.25">
      <c r="A52" s="210" t="s">
        <v>27</v>
      </c>
      <c r="B52" s="211"/>
      <c r="C52" s="242"/>
      <c r="D52" s="96" t="s">
        <v>126</v>
      </c>
      <c r="E52" s="94">
        <f>SUM(E49:E51)</f>
        <v>2168.77</v>
      </c>
    </row>
    <row r="53" spans="1:9" x14ac:dyDescent="0.25">
      <c r="A53" s="186" t="s">
        <v>182</v>
      </c>
      <c r="B53" s="187"/>
      <c r="C53" s="187"/>
      <c r="D53" s="187"/>
      <c r="E53" s="188"/>
    </row>
    <row r="54" spans="1:9" x14ac:dyDescent="0.25">
      <c r="A54" s="54" t="s">
        <v>183</v>
      </c>
      <c r="B54" s="201" t="s">
        <v>30</v>
      </c>
      <c r="C54" s="202"/>
      <c r="D54" s="203"/>
      <c r="E54" s="47" t="s">
        <v>10</v>
      </c>
    </row>
    <row r="55" spans="1:9" x14ac:dyDescent="0.25">
      <c r="A55" s="62" t="s">
        <v>0</v>
      </c>
      <c r="B55" s="192" t="s">
        <v>184</v>
      </c>
      <c r="C55" s="193"/>
      <c r="D55" s="64">
        <f>100%*(1/12)*5.55%</f>
        <v>4.5999999999999999E-3</v>
      </c>
      <c r="E55" s="53">
        <f t="shared" ref="E55:E59" si="0">ROUND(+D55*$E$24,2)</f>
        <v>10.81</v>
      </c>
    </row>
    <row r="56" spans="1:9" x14ac:dyDescent="0.25">
      <c r="A56" s="62" t="s">
        <v>2</v>
      </c>
      <c r="B56" s="192" t="s">
        <v>185</v>
      </c>
      <c r="C56" s="193"/>
      <c r="D56" s="64">
        <f>D37*D55</f>
        <v>4.0000000000000002E-4</v>
      </c>
      <c r="E56" s="53">
        <f t="shared" si="0"/>
        <v>0.94</v>
      </c>
    </row>
    <row r="57" spans="1:9" x14ac:dyDescent="0.25">
      <c r="A57" s="62" t="s">
        <v>3</v>
      </c>
      <c r="B57" s="194" t="s">
        <v>31</v>
      </c>
      <c r="C57" s="195"/>
      <c r="D57" s="64">
        <v>1.9400000000000001E-2</v>
      </c>
      <c r="E57" s="53">
        <f t="shared" si="0"/>
        <v>45.6</v>
      </c>
    </row>
    <row r="58" spans="1:9" x14ac:dyDescent="0.25">
      <c r="A58" s="62" t="s">
        <v>5</v>
      </c>
      <c r="B58" s="192" t="s">
        <v>187</v>
      </c>
      <c r="C58" s="193"/>
      <c r="D58" s="64">
        <f>D40*D57</f>
        <v>7.1000000000000004E-3</v>
      </c>
      <c r="E58" s="53">
        <f>D58*E24</f>
        <v>16.690000000000001</v>
      </c>
    </row>
    <row r="59" spans="1:9" ht="32.25" customHeight="1" x14ac:dyDescent="0.25">
      <c r="A59" s="62" t="s">
        <v>19</v>
      </c>
      <c r="B59" s="192" t="s">
        <v>280</v>
      </c>
      <c r="C59" s="193"/>
      <c r="D59" s="64">
        <v>0.04</v>
      </c>
      <c r="E59" s="53">
        <f t="shared" si="0"/>
        <v>94.03</v>
      </c>
    </row>
    <row r="60" spans="1:9" x14ac:dyDescent="0.25">
      <c r="A60" s="235" t="s">
        <v>27</v>
      </c>
      <c r="B60" s="236"/>
      <c r="C60" s="236"/>
      <c r="D60" s="97">
        <f>SUM(D55:D59)</f>
        <v>7.1499999999999994E-2</v>
      </c>
      <c r="E60" s="94">
        <f>SUM(E55:E59)</f>
        <v>168.07</v>
      </c>
    </row>
    <row r="61" spans="1:9" x14ac:dyDescent="0.25">
      <c r="A61" s="186" t="s">
        <v>189</v>
      </c>
      <c r="B61" s="187"/>
      <c r="C61" s="187"/>
      <c r="D61" s="187"/>
      <c r="E61" s="188"/>
    </row>
    <row r="62" spans="1:9" x14ac:dyDescent="0.25">
      <c r="A62" s="54" t="s">
        <v>24</v>
      </c>
      <c r="B62" s="238" t="s">
        <v>190</v>
      </c>
      <c r="C62" s="187"/>
      <c r="D62" s="239"/>
      <c r="E62" s="47" t="s">
        <v>10</v>
      </c>
    </row>
    <row r="63" spans="1:9" x14ac:dyDescent="0.25">
      <c r="A63" s="62" t="s">
        <v>0</v>
      </c>
      <c r="B63" s="192" t="s">
        <v>213</v>
      </c>
      <c r="C63" s="193"/>
      <c r="D63" s="64">
        <f>D28/12</f>
        <v>9.2999999999999992E-3</v>
      </c>
      <c r="E63" s="53">
        <f>D63*E24</f>
        <v>21.86</v>
      </c>
      <c r="I63" s="110"/>
    </row>
    <row r="64" spans="1:9" x14ac:dyDescent="0.25">
      <c r="A64" s="62" t="s">
        <v>2</v>
      </c>
      <c r="B64" s="192" t="s">
        <v>191</v>
      </c>
      <c r="C64" s="193"/>
      <c r="D64" s="64">
        <v>1.66E-2</v>
      </c>
      <c r="E64" s="53">
        <f>D64*E24</f>
        <v>39.020000000000003</v>
      </c>
      <c r="I64" s="110"/>
    </row>
    <row r="65" spans="1:9" x14ac:dyDescent="0.25">
      <c r="A65" s="62" t="s">
        <v>3</v>
      </c>
      <c r="B65" s="192" t="s">
        <v>192</v>
      </c>
      <c r="C65" s="193"/>
      <c r="D65" s="64">
        <f>(5/30)*(1/12)*3.24%*50%</f>
        <v>2.0000000000000001E-4</v>
      </c>
      <c r="E65" s="53">
        <f>D65*E24</f>
        <v>0.47</v>
      </c>
      <c r="I65" s="110"/>
    </row>
    <row r="66" spans="1:9" x14ac:dyDescent="0.25">
      <c r="A66" s="62" t="s">
        <v>5</v>
      </c>
      <c r="B66" s="192" t="s">
        <v>193</v>
      </c>
      <c r="C66" s="193"/>
      <c r="D66" s="64">
        <v>2.8E-3</v>
      </c>
      <c r="E66" s="53">
        <f>D66*E24</f>
        <v>6.58</v>
      </c>
      <c r="I66" s="110"/>
    </row>
    <row r="67" spans="1:9" x14ac:dyDescent="0.25">
      <c r="A67" s="62" t="s">
        <v>19</v>
      </c>
      <c r="B67" s="192" t="s">
        <v>194</v>
      </c>
      <c r="C67" s="193"/>
      <c r="D67" s="64">
        <v>2.9999999999999997E-4</v>
      </c>
      <c r="E67" s="53">
        <f>D67*E24</f>
        <v>0.71</v>
      </c>
      <c r="I67" s="110"/>
    </row>
    <row r="68" spans="1:9" x14ac:dyDescent="0.25">
      <c r="A68" s="62" t="s">
        <v>20</v>
      </c>
      <c r="B68" s="192" t="s">
        <v>218</v>
      </c>
      <c r="C68" s="193"/>
      <c r="D68" s="64">
        <v>0</v>
      </c>
      <c r="E68" s="53">
        <f>D68*E24</f>
        <v>0</v>
      </c>
      <c r="I68" s="111"/>
    </row>
    <row r="69" spans="1:9" x14ac:dyDescent="0.25">
      <c r="A69" s="235" t="s">
        <v>195</v>
      </c>
      <c r="B69" s="236"/>
      <c r="C69" s="237"/>
      <c r="D69" s="97">
        <f>SUM(D63:D68)</f>
        <v>2.92E-2</v>
      </c>
      <c r="E69" s="94">
        <f>SUM(E63:E68)</f>
        <v>68.64</v>
      </c>
      <c r="I69" s="110"/>
    </row>
    <row r="70" spans="1:9" x14ac:dyDescent="0.25">
      <c r="A70" s="186"/>
      <c r="B70" s="187"/>
      <c r="C70" s="187"/>
      <c r="D70" s="239"/>
      <c r="E70" s="53"/>
    </row>
    <row r="71" spans="1:9" x14ac:dyDescent="0.25">
      <c r="A71" s="54" t="s">
        <v>126</v>
      </c>
      <c r="B71" s="201" t="s">
        <v>196</v>
      </c>
      <c r="C71" s="202"/>
      <c r="D71" s="203"/>
      <c r="E71" s="47" t="s">
        <v>10</v>
      </c>
    </row>
    <row r="72" spans="1:9" x14ac:dyDescent="0.25">
      <c r="A72" s="62" t="s">
        <v>0</v>
      </c>
      <c r="B72" s="192" t="s">
        <v>197</v>
      </c>
      <c r="C72" s="193"/>
      <c r="D72" s="64">
        <v>0</v>
      </c>
      <c r="E72" s="53">
        <f>ROUND(+$E$25*D72,2)</f>
        <v>0</v>
      </c>
    </row>
    <row r="73" spans="1:9" x14ac:dyDescent="0.25">
      <c r="A73" s="235" t="s">
        <v>27</v>
      </c>
      <c r="B73" s="236"/>
      <c r="C73" s="236"/>
      <c r="D73" s="95">
        <f>D72</f>
        <v>0</v>
      </c>
      <c r="E73" s="94">
        <f>E72</f>
        <v>0</v>
      </c>
    </row>
    <row r="74" spans="1:9" x14ac:dyDescent="0.25">
      <c r="A74" s="186" t="s">
        <v>198</v>
      </c>
      <c r="B74" s="187"/>
      <c r="C74" s="187"/>
      <c r="D74" s="239"/>
      <c r="E74" s="53"/>
    </row>
    <row r="75" spans="1:9" x14ac:dyDescent="0.25">
      <c r="A75" s="54">
        <v>4</v>
      </c>
      <c r="B75" s="201" t="s">
        <v>32</v>
      </c>
      <c r="C75" s="202"/>
      <c r="D75" s="203"/>
      <c r="E75" s="47" t="s">
        <v>10</v>
      </c>
    </row>
    <row r="76" spans="1:9" x14ac:dyDescent="0.25">
      <c r="A76" s="62" t="s">
        <v>24</v>
      </c>
      <c r="B76" s="192" t="s">
        <v>190</v>
      </c>
      <c r="C76" s="193"/>
      <c r="D76" s="64">
        <f>D69</f>
        <v>2.92E-2</v>
      </c>
      <c r="E76" s="53">
        <f>E69</f>
        <v>68.64</v>
      </c>
    </row>
    <row r="77" spans="1:9" x14ac:dyDescent="0.25">
      <c r="A77" s="62" t="s">
        <v>28</v>
      </c>
      <c r="B77" s="192" t="s">
        <v>196</v>
      </c>
      <c r="C77" s="193"/>
      <c r="D77" s="64">
        <f>D73</f>
        <v>0</v>
      </c>
      <c r="E77" s="53">
        <f>E73</f>
        <v>0</v>
      </c>
    </row>
    <row r="78" spans="1:9" x14ac:dyDescent="0.25">
      <c r="A78" s="235" t="s">
        <v>199</v>
      </c>
      <c r="B78" s="236"/>
      <c r="C78" s="237"/>
      <c r="D78" s="97">
        <f>SUM(D73:D77)</f>
        <v>2.92E-2</v>
      </c>
      <c r="E78" s="94">
        <f>SUM(E76+E77)</f>
        <v>68.64</v>
      </c>
    </row>
    <row r="79" spans="1:9" x14ac:dyDescent="0.25">
      <c r="A79" s="186" t="s">
        <v>200</v>
      </c>
      <c r="B79" s="187"/>
      <c r="C79" s="187"/>
      <c r="D79" s="187"/>
      <c r="E79" s="188"/>
    </row>
    <row r="80" spans="1:9" x14ac:dyDescent="0.25">
      <c r="A80" s="54">
        <v>5</v>
      </c>
      <c r="B80" s="201" t="s">
        <v>201</v>
      </c>
      <c r="C80" s="202"/>
      <c r="D80" s="203"/>
      <c r="E80" s="47" t="s">
        <v>10</v>
      </c>
    </row>
    <row r="81" spans="1:5" x14ac:dyDescent="0.25">
      <c r="A81" s="62" t="s">
        <v>0</v>
      </c>
      <c r="B81" s="192" t="s">
        <v>210</v>
      </c>
      <c r="C81" s="241"/>
      <c r="D81" s="193"/>
      <c r="E81" s="53">
        <f>UNIFORME!F9</f>
        <v>63.33</v>
      </c>
    </row>
    <row r="82" spans="1:5" x14ac:dyDescent="0.25">
      <c r="A82" s="62" t="s">
        <v>2</v>
      </c>
      <c r="B82" s="192" t="s">
        <v>202</v>
      </c>
      <c r="C82" s="241"/>
      <c r="D82" s="193"/>
      <c r="E82" s="53">
        <f>'MATERIAIS E EQUIPAMENTOS'!O57</f>
        <v>579.29</v>
      </c>
    </row>
    <row r="83" spans="1:5" x14ac:dyDescent="0.25">
      <c r="A83" s="62" t="s">
        <v>3</v>
      </c>
      <c r="B83" s="192" t="s">
        <v>154</v>
      </c>
      <c r="C83" s="241"/>
      <c r="D83" s="193"/>
      <c r="E83" s="53">
        <f>'MATERIAIS E EQUIPAMENTOS'!O58</f>
        <v>21.02</v>
      </c>
    </row>
    <row r="84" spans="1:5" x14ac:dyDescent="0.25">
      <c r="A84" s="62" t="s">
        <v>5</v>
      </c>
      <c r="B84" s="192" t="s">
        <v>263</v>
      </c>
      <c r="C84" s="241"/>
      <c r="D84" s="193"/>
      <c r="E84" s="53">
        <v>0</v>
      </c>
    </row>
    <row r="85" spans="1:5" ht="15" customHeight="1" x14ac:dyDescent="0.25">
      <c r="A85" s="235" t="s">
        <v>203</v>
      </c>
      <c r="B85" s="236"/>
      <c r="C85" s="236"/>
      <c r="D85" s="237"/>
      <c r="E85" s="94">
        <f>SUM(E81:E84)</f>
        <v>663.64</v>
      </c>
    </row>
    <row r="86" spans="1:5" ht="31.5" customHeight="1" x14ac:dyDescent="0.25">
      <c r="A86" s="189" t="s">
        <v>33</v>
      </c>
      <c r="B86" s="234"/>
      <c r="C86" s="240" t="s">
        <v>27</v>
      </c>
      <c r="D86" s="234"/>
      <c r="E86" s="53">
        <f>SUM(E24+E52+E60+E78+E85)</f>
        <v>5419.8</v>
      </c>
    </row>
    <row r="87" spans="1:5" ht="27" customHeight="1" x14ac:dyDescent="0.25">
      <c r="A87" s="225" t="s">
        <v>220</v>
      </c>
      <c r="B87" s="225"/>
      <c r="C87" s="225"/>
      <c r="D87" s="225"/>
      <c r="E87" s="143">
        <f>E86</f>
        <v>5419.8</v>
      </c>
    </row>
    <row r="88" spans="1:5" x14ac:dyDescent="0.25">
      <c r="A88" s="186" t="s">
        <v>204</v>
      </c>
      <c r="B88" s="187"/>
      <c r="C88" s="187"/>
      <c r="D88" s="187"/>
      <c r="E88" s="188"/>
    </row>
    <row r="89" spans="1:5" x14ac:dyDescent="0.25">
      <c r="A89" s="54">
        <v>6</v>
      </c>
      <c r="B89" s="201" t="s">
        <v>34</v>
      </c>
      <c r="C89" s="202"/>
      <c r="D89" s="203"/>
      <c r="E89" s="47" t="s">
        <v>10</v>
      </c>
    </row>
    <row r="90" spans="1:5" x14ac:dyDescent="0.25">
      <c r="A90" s="54" t="s">
        <v>0</v>
      </c>
      <c r="B90" s="63" t="s">
        <v>285</v>
      </c>
      <c r="C90" s="216">
        <v>0.05</v>
      </c>
      <c r="D90" s="217"/>
      <c r="E90" s="53">
        <f>+E87*C90</f>
        <v>270.99</v>
      </c>
    </row>
    <row r="91" spans="1:5" x14ac:dyDescent="0.25">
      <c r="A91" s="54" t="s">
        <v>2</v>
      </c>
      <c r="B91" s="63" t="s">
        <v>286</v>
      </c>
      <c r="C91" s="216">
        <v>0.1</v>
      </c>
      <c r="D91" s="217"/>
      <c r="E91" s="53">
        <f>C91*(+E87+E90)</f>
        <v>569.08000000000004</v>
      </c>
    </row>
    <row r="92" spans="1:5" ht="30" customHeight="1" x14ac:dyDescent="0.25">
      <c r="A92" s="218" t="s">
        <v>3</v>
      </c>
      <c r="B92" s="220" t="s">
        <v>267</v>
      </c>
      <c r="C92" s="221"/>
      <c r="D92" s="121">
        <f>(100-14.25)/100</f>
        <v>0.85750000000000004</v>
      </c>
      <c r="E92" s="53">
        <f>+E87+E90+E91</f>
        <v>6259.87</v>
      </c>
    </row>
    <row r="93" spans="1:5" x14ac:dyDescent="0.25">
      <c r="A93" s="218"/>
      <c r="B93" s="69" t="s">
        <v>37</v>
      </c>
      <c r="C93" s="68"/>
      <c r="D93" s="68"/>
      <c r="E93" s="70">
        <f>+E92/D92</f>
        <v>7300.14</v>
      </c>
    </row>
    <row r="94" spans="1:5" x14ac:dyDescent="0.25">
      <c r="A94" s="218"/>
      <c r="B94" s="71" t="s">
        <v>38</v>
      </c>
      <c r="C94" s="72"/>
      <c r="D94" s="73"/>
      <c r="E94" s="53"/>
    </row>
    <row r="95" spans="1:5" x14ac:dyDescent="0.25">
      <c r="A95" s="218"/>
      <c r="B95" s="74" t="s">
        <v>211</v>
      </c>
      <c r="C95" s="75"/>
      <c r="D95" s="64">
        <v>1.6500000000000001E-2</v>
      </c>
      <c r="E95" s="53">
        <f>+E93*D95</f>
        <v>120.45</v>
      </c>
    </row>
    <row r="96" spans="1:5" x14ac:dyDescent="0.25">
      <c r="A96" s="218"/>
      <c r="B96" s="74" t="s">
        <v>212</v>
      </c>
      <c r="C96" s="75"/>
      <c r="D96" s="64">
        <v>7.5999999999999998E-2</v>
      </c>
      <c r="E96" s="53">
        <f>+E93*D96</f>
        <v>554.80999999999995</v>
      </c>
    </row>
    <row r="97" spans="1:5" x14ac:dyDescent="0.25">
      <c r="A97" s="218"/>
      <c r="B97" s="76" t="s">
        <v>39</v>
      </c>
      <c r="C97" s="77"/>
      <c r="D97" s="65"/>
      <c r="E97" s="53"/>
    </row>
    <row r="98" spans="1:5" x14ac:dyDescent="0.25">
      <c r="A98" s="218"/>
      <c r="B98" s="76" t="s">
        <v>40</v>
      </c>
      <c r="C98" s="77"/>
      <c r="D98" s="78"/>
      <c r="E98" s="53"/>
    </row>
    <row r="99" spans="1:5" ht="15.75" thickBot="1" x14ac:dyDescent="0.3">
      <c r="A99" s="219"/>
      <c r="B99" s="79" t="s">
        <v>268</v>
      </c>
      <c r="C99" s="80"/>
      <c r="D99" s="81">
        <v>0.05</v>
      </c>
      <c r="E99" s="82">
        <f>+E93*D99</f>
        <v>365.01</v>
      </c>
    </row>
    <row r="100" spans="1:5" ht="15.75" thickBot="1" x14ac:dyDescent="0.3">
      <c r="A100" s="83"/>
      <c r="B100" s="84" t="s">
        <v>41</v>
      </c>
      <c r="C100" s="84"/>
      <c r="D100" s="85">
        <f>SUM(D95:D99)</f>
        <v>0.14249999999999999</v>
      </c>
      <c r="E100" s="157">
        <f>SUM(E95:E99)</f>
        <v>1040.27</v>
      </c>
    </row>
    <row r="101" spans="1:5" x14ac:dyDescent="0.25">
      <c r="A101" s="222" t="s">
        <v>42</v>
      </c>
      <c r="B101" s="223"/>
      <c r="C101" s="223"/>
      <c r="D101" s="224"/>
      <c r="E101" s="98">
        <f>+E90+E91+E100</f>
        <v>1880.34</v>
      </c>
    </row>
    <row r="102" spans="1:5" x14ac:dyDescent="0.25">
      <c r="A102" s="189" t="s">
        <v>43</v>
      </c>
      <c r="B102" s="190"/>
      <c r="C102" s="190"/>
      <c r="D102" s="234"/>
      <c r="E102" s="47" t="s">
        <v>10</v>
      </c>
    </row>
    <row r="103" spans="1:5" x14ac:dyDescent="0.25">
      <c r="A103" s="54" t="s">
        <v>0</v>
      </c>
      <c r="B103" s="201" t="s">
        <v>44</v>
      </c>
      <c r="C103" s="226"/>
      <c r="D103" s="227"/>
      <c r="E103" s="53">
        <f>+E24</f>
        <v>2350.6799999999998</v>
      </c>
    </row>
    <row r="104" spans="1:5" x14ac:dyDescent="0.25">
      <c r="A104" s="54" t="s">
        <v>2</v>
      </c>
      <c r="B104" s="201" t="s">
        <v>205</v>
      </c>
      <c r="C104" s="226"/>
      <c r="D104" s="227"/>
      <c r="E104" s="53">
        <f>E52</f>
        <v>2168.77</v>
      </c>
    </row>
    <row r="105" spans="1:5" x14ac:dyDescent="0.25">
      <c r="A105" s="54" t="s">
        <v>3</v>
      </c>
      <c r="B105" s="201" t="s">
        <v>206</v>
      </c>
      <c r="C105" s="226"/>
      <c r="D105" s="227"/>
      <c r="E105" s="53">
        <f>E60</f>
        <v>168.07</v>
      </c>
    </row>
    <row r="106" spans="1:5" x14ac:dyDescent="0.25">
      <c r="A106" s="54" t="s">
        <v>5</v>
      </c>
      <c r="B106" s="201" t="s">
        <v>207</v>
      </c>
      <c r="C106" s="226"/>
      <c r="D106" s="227"/>
      <c r="E106" s="53">
        <f>E78</f>
        <v>68.64</v>
      </c>
    </row>
    <row r="107" spans="1:5" x14ac:dyDescent="0.25">
      <c r="A107" s="54" t="s">
        <v>19</v>
      </c>
      <c r="B107" s="201" t="s">
        <v>208</v>
      </c>
      <c r="C107" s="226"/>
      <c r="D107" s="227"/>
      <c r="E107" s="53">
        <f>E85</f>
        <v>663.64</v>
      </c>
    </row>
    <row r="108" spans="1:5" x14ac:dyDescent="0.25">
      <c r="A108" s="231" t="s">
        <v>45</v>
      </c>
      <c r="B108" s="232"/>
      <c r="C108" s="233"/>
      <c r="D108" s="67"/>
      <c r="E108" s="53">
        <f>SUM(E103:E107)</f>
        <v>5419.8</v>
      </c>
    </row>
    <row r="109" spans="1:5" x14ac:dyDescent="0.25">
      <c r="A109" s="54" t="s">
        <v>20</v>
      </c>
      <c r="B109" s="201" t="s">
        <v>46</v>
      </c>
      <c r="C109" s="226"/>
      <c r="D109" s="227"/>
      <c r="E109" s="53">
        <f>+E101</f>
        <v>1880.34</v>
      </c>
    </row>
    <row r="110" spans="1:5" ht="15.75" thickBot="1" x14ac:dyDescent="0.3">
      <c r="A110" s="228" t="s">
        <v>47</v>
      </c>
      <c r="B110" s="229"/>
      <c r="C110" s="229"/>
      <c r="D110" s="230"/>
      <c r="E110" s="99">
        <f>+E108+E109</f>
        <v>7300.14</v>
      </c>
    </row>
    <row r="111" spans="1:5" x14ac:dyDescent="0.25">
      <c r="A111" s="87"/>
      <c r="B111" s="88"/>
      <c r="C111" s="88"/>
      <c r="D111" s="88"/>
      <c r="E111" s="89"/>
    </row>
    <row r="112" spans="1:5" x14ac:dyDescent="0.25">
      <c r="A112" s="90"/>
      <c r="B112" s="91"/>
      <c r="C112" s="91"/>
      <c r="D112" s="92"/>
      <c r="E112" s="93"/>
    </row>
  </sheetData>
  <mergeCells count="101">
    <mergeCell ref="B107:D107"/>
    <mergeCell ref="A108:C108"/>
    <mergeCell ref="B109:D109"/>
    <mergeCell ref="A110:D110"/>
    <mergeCell ref="A101:D101"/>
    <mergeCell ref="A102:D102"/>
    <mergeCell ref="B103:D103"/>
    <mergeCell ref="B104:D104"/>
    <mergeCell ref="B105:D105"/>
    <mergeCell ref="B106:D106"/>
    <mergeCell ref="A87:D87"/>
    <mergeCell ref="A88:E88"/>
    <mergeCell ref="B89:D89"/>
    <mergeCell ref="C90:D90"/>
    <mergeCell ref="C91:D91"/>
    <mergeCell ref="A92:A99"/>
    <mergeCell ref="B92:C92"/>
    <mergeCell ref="B81:D81"/>
    <mergeCell ref="B82:D82"/>
    <mergeCell ref="B83:D83"/>
    <mergeCell ref="B84:D84"/>
    <mergeCell ref="A85:D85"/>
    <mergeCell ref="A86:B86"/>
    <mergeCell ref="C86:D86"/>
    <mergeCell ref="B75:D75"/>
    <mergeCell ref="B76:C76"/>
    <mergeCell ref="B77:C77"/>
    <mergeCell ref="A78:C78"/>
    <mergeCell ref="A79:E79"/>
    <mergeCell ref="B80:D80"/>
    <mergeCell ref="A69:C69"/>
    <mergeCell ref="A70:D70"/>
    <mergeCell ref="B71:D71"/>
    <mergeCell ref="B72:C72"/>
    <mergeCell ref="A73:C73"/>
    <mergeCell ref="A74:D74"/>
    <mergeCell ref="B63:C63"/>
    <mergeCell ref="B64:C64"/>
    <mergeCell ref="B65:C65"/>
    <mergeCell ref="B66:C66"/>
    <mergeCell ref="B67:C67"/>
    <mergeCell ref="B68:C68"/>
    <mergeCell ref="B57:C57"/>
    <mergeCell ref="B58:C58"/>
    <mergeCell ref="B59:C59"/>
    <mergeCell ref="A60:C60"/>
    <mergeCell ref="A61:E61"/>
    <mergeCell ref="B62:D62"/>
    <mergeCell ref="A52:C52"/>
    <mergeCell ref="A53:E53"/>
    <mergeCell ref="B54:D54"/>
    <mergeCell ref="B55:C55"/>
    <mergeCell ref="B56:C56"/>
    <mergeCell ref="B46:C46"/>
    <mergeCell ref="A47:D47"/>
    <mergeCell ref="A48:D48"/>
    <mergeCell ref="B49:D49"/>
    <mergeCell ref="B50:D50"/>
    <mergeCell ref="B51:D51"/>
    <mergeCell ref="A40:C40"/>
    <mergeCell ref="B41:D41"/>
    <mergeCell ref="B42:C42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  <mergeCell ref="B28:C28"/>
    <mergeCell ref="A29:C29"/>
    <mergeCell ref="A30:E30"/>
    <mergeCell ref="B31:D31"/>
    <mergeCell ref="B32:C32"/>
    <mergeCell ref="B33:C33"/>
    <mergeCell ref="C22:D22"/>
    <mergeCell ref="C23:D23"/>
    <mergeCell ref="A24:D24"/>
    <mergeCell ref="A25:E25"/>
    <mergeCell ref="B26:D26"/>
    <mergeCell ref="B27:C27"/>
    <mergeCell ref="C17:D17"/>
    <mergeCell ref="C20:D20"/>
    <mergeCell ref="C21:D21"/>
    <mergeCell ref="A7:E7"/>
    <mergeCell ref="A8:E8"/>
    <mergeCell ref="A9:E9"/>
    <mergeCell ref="A10:E10"/>
    <mergeCell ref="C11:E11"/>
    <mergeCell ref="C13:E13"/>
    <mergeCell ref="A1:E1"/>
    <mergeCell ref="A2:E2"/>
    <mergeCell ref="C3:E3"/>
    <mergeCell ref="C4:E4"/>
    <mergeCell ref="C5:E5"/>
    <mergeCell ref="C6:E6"/>
    <mergeCell ref="C14:E14"/>
    <mergeCell ref="A15:E15"/>
    <mergeCell ref="B16:D16"/>
  </mergeCells>
  <hyperlinks>
    <hyperlink ref="B39" r:id="rId1" display="08 - Sebrae 0,3% ou 0,6% - IN nº 03, MPS/SRP/2005, Anexo II e III ver código da Tabela"/>
  </hyperlinks>
  <pageMargins left="0.51181102362204722" right="0.51181102362204722" top="0.59055118110236227" bottom="0.59055118110236227" header="0.31496062992125984" footer="0.31496062992125984"/>
  <pageSetup paperSize="9" scale="76" orientation="portrait" r:id="rId2"/>
  <rowBreaks count="1" manualBreakCount="1">
    <brk id="60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9"/>
  <sheetViews>
    <sheetView showGridLines="0" view="pageBreakPreview" zoomScaleNormal="100" zoomScaleSheetLayoutView="100" zoomScalePageLayoutView="80" workbookViewId="0">
      <selection activeCell="D9" sqref="D9"/>
    </sheetView>
  </sheetViews>
  <sheetFormatPr defaultColWidth="9.140625" defaultRowHeight="15.75" x14ac:dyDescent="0.25"/>
  <cols>
    <col min="1" max="1" width="8.28515625" style="33" customWidth="1"/>
    <col min="2" max="2" width="33.5703125" style="34" customWidth="1"/>
    <col min="3" max="3" width="17.7109375" style="34" customWidth="1"/>
    <col min="4" max="4" width="21" style="33" customWidth="1"/>
    <col min="5" max="5" width="22.140625" style="35" customWidth="1"/>
    <col min="6" max="6" width="22.5703125" style="35" customWidth="1"/>
    <col min="7" max="8" width="9.140625" style="32"/>
    <col min="9" max="9" width="13.28515625" style="32" bestFit="1" customWidth="1"/>
    <col min="10" max="16384" width="9.140625" style="32"/>
  </cols>
  <sheetData>
    <row r="1" spans="1:6" ht="21.75" thickBot="1" x14ac:dyDescent="0.3">
      <c r="A1" s="271" t="s">
        <v>141</v>
      </c>
      <c r="B1" s="272"/>
      <c r="C1" s="272"/>
      <c r="D1" s="272"/>
      <c r="E1" s="272"/>
      <c r="F1" s="273"/>
    </row>
    <row r="2" spans="1:6" ht="15" customHeight="1" x14ac:dyDescent="0.25"/>
    <row r="3" spans="1:6" ht="32.25" customHeight="1" x14ac:dyDescent="0.25">
      <c r="A3" s="122" t="s">
        <v>147</v>
      </c>
      <c r="B3" s="122" t="s">
        <v>142</v>
      </c>
      <c r="C3" s="122" t="s">
        <v>143</v>
      </c>
      <c r="D3" s="122" t="s">
        <v>144</v>
      </c>
      <c r="E3" s="152" t="s">
        <v>160</v>
      </c>
      <c r="F3" s="118" t="s">
        <v>146</v>
      </c>
    </row>
    <row r="4" spans="1:6" x14ac:dyDescent="0.25">
      <c r="A4" s="144">
        <v>1</v>
      </c>
      <c r="B4" s="146" t="s">
        <v>158</v>
      </c>
      <c r="C4" s="144">
        <v>4</v>
      </c>
      <c r="D4" s="147">
        <v>70</v>
      </c>
      <c r="E4" s="148">
        <f>+D4*C4</f>
        <v>280</v>
      </c>
      <c r="F4" s="127">
        <f>+E4/12</f>
        <v>23.33</v>
      </c>
    </row>
    <row r="5" spans="1:6" x14ac:dyDescent="0.25">
      <c r="A5" s="145">
        <v>2</v>
      </c>
      <c r="B5" s="149" t="s">
        <v>159</v>
      </c>
      <c r="C5" s="144">
        <v>4</v>
      </c>
      <c r="D5" s="147">
        <v>55</v>
      </c>
      <c r="E5" s="148">
        <f>D5*C5</f>
        <v>220</v>
      </c>
      <c r="F5" s="127">
        <f>E5/12</f>
        <v>18.329999999999998</v>
      </c>
    </row>
    <row r="6" spans="1:6" x14ac:dyDescent="0.25">
      <c r="A6" s="144">
        <v>3</v>
      </c>
      <c r="B6" s="149" t="s">
        <v>281</v>
      </c>
      <c r="C6" s="104">
        <v>2</v>
      </c>
      <c r="D6" s="147">
        <v>90</v>
      </c>
      <c r="E6" s="148">
        <f>D6*C6</f>
        <v>180</v>
      </c>
      <c r="F6" s="127">
        <f>E6/12</f>
        <v>15</v>
      </c>
    </row>
    <row r="7" spans="1:6" x14ac:dyDescent="0.25">
      <c r="A7" s="145">
        <v>4</v>
      </c>
      <c r="B7" s="146" t="s">
        <v>282</v>
      </c>
      <c r="C7" s="144">
        <v>4</v>
      </c>
      <c r="D7" s="147">
        <v>15</v>
      </c>
      <c r="E7" s="148">
        <f t="shared" ref="E7" si="0">+D7*C7</f>
        <v>60</v>
      </c>
      <c r="F7" s="127">
        <f>+E7/12</f>
        <v>5</v>
      </c>
    </row>
    <row r="8" spans="1:6" x14ac:dyDescent="0.25">
      <c r="A8" s="144">
        <v>5</v>
      </c>
      <c r="B8" s="146" t="s">
        <v>269</v>
      </c>
      <c r="C8" s="144">
        <v>1</v>
      </c>
      <c r="D8" s="147">
        <v>20</v>
      </c>
      <c r="E8" s="148">
        <f>+D8*C8</f>
        <v>20</v>
      </c>
      <c r="F8" s="127">
        <f>+E8/12</f>
        <v>1.67</v>
      </c>
    </row>
    <row r="9" spans="1:6" x14ac:dyDescent="0.25">
      <c r="A9" s="150" t="s">
        <v>27</v>
      </c>
      <c r="B9" s="151"/>
      <c r="C9" s="151"/>
      <c r="D9" s="151"/>
      <c r="E9" s="151"/>
      <c r="F9" s="158">
        <f>SUM(F4:F8)</f>
        <v>63.33</v>
      </c>
    </row>
  </sheetData>
  <mergeCells count="1">
    <mergeCell ref="A1:F1"/>
  </mergeCells>
  <printOptions horizontalCentered="1"/>
  <pageMargins left="0.31496062992125984" right="0.31496062992125984" top="0.19685039370078741" bottom="0.19685039370078741" header="0.31496062992125984" footer="0.31496062992125984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0"/>
  <sheetViews>
    <sheetView showGridLines="0" view="pageBreakPreview" topLeftCell="A13" zoomScaleNormal="100" zoomScaleSheetLayoutView="100" zoomScalePageLayoutView="80" workbookViewId="0">
      <selection activeCell="J44" sqref="J44:K44"/>
    </sheetView>
  </sheetViews>
  <sheetFormatPr defaultColWidth="9.140625" defaultRowHeight="15.75" x14ac:dyDescent="0.25"/>
  <cols>
    <col min="1" max="1" width="8.28515625" style="33" customWidth="1"/>
    <col min="2" max="2" width="40.5703125" style="34" customWidth="1"/>
    <col min="3" max="3" width="13.5703125" style="34" customWidth="1"/>
    <col min="4" max="4" width="10.42578125" style="33" customWidth="1"/>
    <col min="5" max="5" width="11.28515625" style="35" customWidth="1"/>
    <col min="6" max="7" width="12.7109375" style="35" customWidth="1"/>
    <col min="8" max="9" width="16.42578125" style="35" customWidth="1"/>
    <col min="10" max="12" width="12.7109375" style="35" customWidth="1"/>
    <col min="13" max="13" width="16" style="35" customWidth="1"/>
    <col min="14" max="14" width="11.7109375" style="35" customWidth="1"/>
    <col min="15" max="15" width="16.85546875" style="36" bestFit="1" customWidth="1"/>
    <col min="16" max="17" width="9.140625" style="32"/>
    <col min="18" max="18" width="13.28515625" style="32" bestFit="1" customWidth="1"/>
    <col min="19" max="16384" width="9.140625" style="32"/>
  </cols>
  <sheetData>
    <row r="1" spans="1:23" ht="6.75" customHeight="1" x14ac:dyDescent="0.25"/>
    <row r="2" spans="1:23" x14ac:dyDescent="0.25">
      <c r="A2" s="275" t="s">
        <v>289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</row>
    <row r="3" spans="1:23" ht="31.5" x14ac:dyDescent="0.25">
      <c r="A3" s="119" t="s">
        <v>147</v>
      </c>
      <c r="B3" s="282" t="s">
        <v>148</v>
      </c>
      <c r="C3" s="282"/>
      <c r="D3" s="119" t="s">
        <v>157</v>
      </c>
      <c r="E3" s="118" t="s">
        <v>149</v>
      </c>
      <c r="F3" s="118" t="s">
        <v>239</v>
      </c>
      <c r="G3" s="118" t="s">
        <v>240</v>
      </c>
      <c r="H3" s="118" t="s">
        <v>241</v>
      </c>
      <c r="I3" s="118" t="s">
        <v>273</v>
      </c>
      <c r="J3" s="118" t="s">
        <v>273</v>
      </c>
      <c r="K3" s="118" t="s">
        <v>273</v>
      </c>
      <c r="L3" s="118" t="s">
        <v>243</v>
      </c>
      <c r="M3" s="118" t="s">
        <v>145</v>
      </c>
      <c r="N3" s="118" t="s">
        <v>150</v>
      </c>
      <c r="O3" s="118" t="s">
        <v>151</v>
      </c>
      <c r="V3" s="128"/>
      <c r="W3" s="128"/>
    </row>
    <row r="4" spans="1:23" s="109" customFormat="1" x14ac:dyDescent="0.25">
      <c r="A4" s="123">
        <v>1</v>
      </c>
      <c r="B4" s="283" t="s">
        <v>221</v>
      </c>
      <c r="C4" s="283"/>
      <c r="D4" s="123" t="s">
        <v>223</v>
      </c>
      <c r="E4" s="124">
        <v>60</v>
      </c>
      <c r="F4" s="138">
        <v>4.0999999999999996</v>
      </c>
      <c r="G4" s="138">
        <v>3.6</v>
      </c>
      <c r="H4" s="138">
        <v>14</v>
      </c>
      <c r="I4" s="138"/>
      <c r="J4" s="138"/>
      <c r="K4" s="138"/>
      <c r="L4" s="125">
        <f t="shared" ref="L4:L18" si="0">AVERAGE(F4:K4)</f>
        <v>7.23</v>
      </c>
      <c r="M4" s="125">
        <f t="shared" ref="M4:M18" si="1">L4*E4</f>
        <v>433.8</v>
      </c>
      <c r="N4" s="126">
        <v>12</v>
      </c>
      <c r="O4" s="127">
        <f>M4/N4</f>
        <v>36.15</v>
      </c>
      <c r="P4" s="128"/>
      <c r="Q4" s="128"/>
      <c r="R4" s="128"/>
      <c r="S4" s="128"/>
      <c r="T4" s="128"/>
      <c r="U4" s="128"/>
      <c r="V4" s="128"/>
      <c r="W4" s="128"/>
    </row>
    <row r="5" spans="1:23" s="109" customFormat="1" x14ac:dyDescent="0.25">
      <c r="A5" s="123">
        <v>2</v>
      </c>
      <c r="B5" s="276" t="s">
        <v>222</v>
      </c>
      <c r="C5" s="276"/>
      <c r="D5" s="123" t="s">
        <v>224</v>
      </c>
      <c r="E5" s="124">
        <v>40</v>
      </c>
      <c r="F5" s="138">
        <v>9.99</v>
      </c>
      <c r="G5" s="138">
        <v>6.4</v>
      </c>
      <c r="H5" s="138">
        <v>15</v>
      </c>
      <c r="I5" s="138"/>
      <c r="J5" s="138"/>
      <c r="K5" s="138"/>
      <c r="L5" s="125">
        <f t="shared" si="0"/>
        <v>10.46</v>
      </c>
      <c r="M5" s="125">
        <f t="shared" si="1"/>
        <v>418.4</v>
      </c>
      <c r="N5" s="126">
        <v>12</v>
      </c>
      <c r="O5" s="127">
        <f t="shared" ref="O5:O18" si="2">M5/N5</f>
        <v>34.869999999999997</v>
      </c>
      <c r="P5" s="128"/>
      <c r="Q5" s="128"/>
      <c r="R5" s="128"/>
      <c r="S5" s="128"/>
      <c r="T5" s="128"/>
      <c r="U5" s="128"/>
      <c r="V5" s="128"/>
      <c r="W5" s="128"/>
    </row>
    <row r="6" spans="1:23" s="109" customFormat="1" x14ac:dyDescent="0.25">
      <c r="A6" s="123">
        <v>3</v>
      </c>
      <c r="B6" s="276" t="s">
        <v>225</v>
      </c>
      <c r="C6" s="276"/>
      <c r="D6" s="123" t="s">
        <v>223</v>
      </c>
      <c r="E6" s="124">
        <v>60</v>
      </c>
      <c r="F6" s="138">
        <v>7.8</v>
      </c>
      <c r="G6" s="138">
        <v>12.6</v>
      </c>
      <c r="H6" s="138">
        <v>55</v>
      </c>
      <c r="I6" s="138"/>
      <c r="J6" s="138"/>
      <c r="K6" s="138"/>
      <c r="L6" s="125">
        <f t="shared" si="0"/>
        <v>25.13</v>
      </c>
      <c r="M6" s="125">
        <f t="shared" si="1"/>
        <v>1507.8</v>
      </c>
      <c r="N6" s="126">
        <v>12</v>
      </c>
      <c r="O6" s="127">
        <f t="shared" si="2"/>
        <v>125.65</v>
      </c>
      <c r="P6" s="128"/>
      <c r="Q6" s="128"/>
      <c r="R6" s="128"/>
      <c r="S6" s="128"/>
      <c r="T6" s="128"/>
      <c r="U6" s="128"/>
      <c r="V6" s="128"/>
      <c r="W6" s="128"/>
    </row>
    <row r="7" spans="1:23" x14ac:dyDescent="0.25">
      <c r="A7" s="123">
        <v>4</v>
      </c>
      <c r="B7" s="276" t="s">
        <v>226</v>
      </c>
      <c r="C7" s="276"/>
      <c r="D7" s="123" t="s">
        <v>223</v>
      </c>
      <c r="E7" s="124">
        <v>60</v>
      </c>
      <c r="F7" s="138">
        <v>10.75</v>
      </c>
      <c r="G7" s="138">
        <v>27.8</v>
      </c>
      <c r="H7" s="138">
        <v>18</v>
      </c>
      <c r="I7" s="138"/>
      <c r="J7" s="138"/>
      <c r="K7" s="138"/>
      <c r="L7" s="125">
        <f t="shared" si="0"/>
        <v>18.850000000000001</v>
      </c>
      <c r="M7" s="125">
        <f t="shared" si="1"/>
        <v>1131</v>
      </c>
      <c r="N7" s="126">
        <v>12</v>
      </c>
      <c r="O7" s="127">
        <f t="shared" si="2"/>
        <v>94.25</v>
      </c>
      <c r="P7" s="128"/>
      <c r="Q7" s="128"/>
      <c r="R7" s="128"/>
      <c r="S7" s="128"/>
      <c r="T7" s="128"/>
      <c r="U7" s="128"/>
      <c r="V7" s="128"/>
      <c r="W7" s="128"/>
    </row>
    <row r="8" spans="1:23" s="109" customFormat="1" ht="40.5" customHeight="1" x14ac:dyDescent="0.25">
      <c r="A8" s="123">
        <v>5</v>
      </c>
      <c r="B8" s="276" t="s">
        <v>227</v>
      </c>
      <c r="C8" s="276"/>
      <c r="D8" s="123" t="s">
        <v>230</v>
      </c>
      <c r="E8" s="124">
        <v>10</v>
      </c>
      <c r="F8" s="138">
        <v>44.8</v>
      </c>
      <c r="G8" s="138">
        <v>48</v>
      </c>
      <c r="H8" s="138">
        <v>38.5</v>
      </c>
      <c r="I8" s="138"/>
      <c r="J8" s="138"/>
      <c r="K8" s="138"/>
      <c r="L8" s="125">
        <f t="shared" si="0"/>
        <v>43.77</v>
      </c>
      <c r="M8" s="125">
        <f t="shared" si="1"/>
        <v>437.7</v>
      </c>
      <c r="N8" s="126">
        <v>12</v>
      </c>
      <c r="O8" s="127">
        <f t="shared" si="2"/>
        <v>36.479999999999997</v>
      </c>
      <c r="P8" s="128"/>
      <c r="Q8" s="128"/>
      <c r="R8" s="128"/>
      <c r="S8" s="128"/>
      <c r="T8" s="128"/>
      <c r="U8" s="128"/>
      <c r="V8" s="128"/>
      <c r="W8" s="128"/>
    </row>
    <row r="9" spans="1:23" s="109" customFormat="1" x14ac:dyDescent="0.25">
      <c r="A9" s="123">
        <v>6</v>
      </c>
      <c r="B9" s="276" t="s">
        <v>228</v>
      </c>
      <c r="C9" s="276"/>
      <c r="D9" s="123" t="s">
        <v>231</v>
      </c>
      <c r="E9" s="124">
        <v>20</v>
      </c>
      <c r="F9" s="138">
        <v>0.75</v>
      </c>
      <c r="G9" s="138">
        <v>1</v>
      </c>
      <c r="H9" s="138">
        <v>2.5</v>
      </c>
      <c r="I9" s="138"/>
      <c r="J9" s="138"/>
      <c r="K9" s="138"/>
      <c r="L9" s="125">
        <f t="shared" si="0"/>
        <v>1.42</v>
      </c>
      <c r="M9" s="125">
        <f t="shared" si="1"/>
        <v>28.4</v>
      </c>
      <c r="N9" s="126">
        <v>12</v>
      </c>
      <c r="O9" s="127">
        <f t="shared" si="2"/>
        <v>2.37</v>
      </c>
      <c r="P9" s="128"/>
      <c r="Q9" s="128"/>
      <c r="R9" s="128"/>
      <c r="S9" s="128"/>
      <c r="T9" s="128"/>
      <c r="U9" s="128"/>
      <c r="V9" s="128"/>
      <c r="W9" s="128"/>
    </row>
    <row r="10" spans="1:23" s="109" customFormat="1" x14ac:dyDescent="0.25">
      <c r="A10" s="123">
        <v>7</v>
      </c>
      <c r="B10" s="276" t="s">
        <v>229</v>
      </c>
      <c r="C10" s="276"/>
      <c r="D10" s="123" t="s">
        <v>231</v>
      </c>
      <c r="E10" s="124">
        <v>20</v>
      </c>
      <c r="F10" s="138">
        <v>2.35</v>
      </c>
      <c r="G10" s="138">
        <v>6.1</v>
      </c>
      <c r="H10" s="138">
        <v>3</v>
      </c>
      <c r="I10" s="138"/>
      <c r="J10" s="138"/>
      <c r="K10" s="138"/>
      <c r="L10" s="125">
        <f t="shared" si="0"/>
        <v>3.82</v>
      </c>
      <c r="M10" s="125">
        <f t="shared" si="1"/>
        <v>76.400000000000006</v>
      </c>
      <c r="N10" s="126">
        <v>12</v>
      </c>
      <c r="O10" s="127">
        <f t="shared" si="2"/>
        <v>6.37</v>
      </c>
      <c r="P10" s="128"/>
      <c r="Q10" s="128"/>
      <c r="R10" s="128"/>
      <c r="S10" s="128"/>
      <c r="T10" s="128"/>
      <c r="U10" s="128"/>
      <c r="V10" s="128"/>
      <c r="W10" s="128"/>
    </row>
    <row r="11" spans="1:23" s="109" customFormat="1" x14ac:dyDescent="0.25">
      <c r="A11" s="123">
        <v>8</v>
      </c>
      <c r="B11" s="276" t="s">
        <v>232</v>
      </c>
      <c r="C11" s="276"/>
      <c r="D11" s="123" t="s">
        <v>223</v>
      </c>
      <c r="E11" s="124">
        <v>20</v>
      </c>
      <c r="F11" s="138">
        <v>13.7</v>
      </c>
      <c r="G11" s="138">
        <v>3.35</v>
      </c>
      <c r="H11" s="138">
        <v>15</v>
      </c>
      <c r="I11" s="138"/>
      <c r="J11" s="138"/>
      <c r="K11" s="138"/>
      <c r="L11" s="125">
        <f t="shared" si="0"/>
        <v>10.68</v>
      </c>
      <c r="M11" s="125">
        <f t="shared" si="1"/>
        <v>213.6</v>
      </c>
      <c r="N11" s="126">
        <v>12</v>
      </c>
      <c r="O11" s="127">
        <f t="shared" si="2"/>
        <v>17.8</v>
      </c>
      <c r="P11" s="128"/>
      <c r="Q11" s="128"/>
      <c r="R11" s="128"/>
      <c r="S11" s="128"/>
      <c r="T11" s="128"/>
      <c r="U11" s="128"/>
      <c r="V11" s="128"/>
      <c r="W11" s="128"/>
    </row>
    <row r="12" spans="1:23" s="109" customFormat="1" x14ac:dyDescent="0.25">
      <c r="A12" s="123">
        <v>9</v>
      </c>
      <c r="B12" s="276" t="s">
        <v>233</v>
      </c>
      <c r="C12" s="276"/>
      <c r="D12" s="123" t="s">
        <v>231</v>
      </c>
      <c r="E12" s="124">
        <v>20</v>
      </c>
      <c r="F12" s="138">
        <v>5.35</v>
      </c>
      <c r="G12" s="138">
        <v>9.6</v>
      </c>
      <c r="H12" s="138">
        <v>8</v>
      </c>
      <c r="I12" s="138"/>
      <c r="J12" s="138"/>
      <c r="K12" s="138"/>
      <c r="L12" s="125">
        <f t="shared" si="0"/>
        <v>7.65</v>
      </c>
      <c r="M12" s="125">
        <f t="shared" si="1"/>
        <v>153</v>
      </c>
      <c r="N12" s="126">
        <v>12</v>
      </c>
      <c r="O12" s="127">
        <f t="shared" si="2"/>
        <v>12.75</v>
      </c>
      <c r="P12" s="128"/>
      <c r="Q12" s="128"/>
      <c r="R12" s="128"/>
      <c r="S12" s="128"/>
      <c r="T12" s="128"/>
      <c r="U12" s="128"/>
      <c r="V12" s="128"/>
      <c r="W12" s="128"/>
    </row>
    <row r="13" spans="1:23" s="109" customFormat="1" x14ac:dyDescent="0.25">
      <c r="A13" s="123">
        <v>10</v>
      </c>
      <c r="B13" s="276" t="s">
        <v>234</v>
      </c>
      <c r="C13" s="276"/>
      <c r="D13" s="123" t="s">
        <v>236</v>
      </c>
      <c r="E13" s="124">
        <v>20</v>
      </c>
      <c r="F13" s="138">
        <v>77.599999999999994</v>
      </c>
      <c r="G13" s="138">
        <v>81.599999999999994</v>
      </c>
      <c r="H13" s="138">
        <v>128</v>
      </c>
      <c r="I13" s="138"/>
      <c r="J13" s="138"/>
      <c r="K13" s="138"/>
      <c r="L13" s="125">
        <f t="shared" si="0"/>
        <v>95.73</v>
      </c>
      <c r="M13" s="125">
        <f t="shared" si="1"/>
        <v>1914.6</v>
      </c>
      <c r="N13" s="126">
        <v>12</v>
      </c>
      <c r="O13" s="127">
        <f t="shared" si="2"/>
        <v>159.55000000000001</v>
      </c>
      <c r="P13" s="128"/>
      <c r="Q13" s="128"/>
      <c r="R13" s="128"/>
      <c r="S13" s="128"/>
      <c r="T13" s="128"/>
      <c r="U13" s="128"/>
      <c r="V13" s="128"/>
      <c r="W13" s="128"/>
    </row>
    <row r="14" spans="1:23" s="109" customFormat="1" ht="37.5" customHeight="1" x14ac:dyDescent="0.25">
      <c r="A14" s="123">
        <v>11</v>
      </c>
      <c r="B14" s="276" t="s">
        <v>235</v>
      </c>
      <c r="C14" s="276"/>
      <c r="D14" s="123" t="s">
        <v>230</v>
      </c>
      <c r="E14" s="124">
        <v>30</v>
      </c>
      <c r="F14" s="138">
        <v>24</v>
      </c>
      <c r="G14" s="138">
        <v>0</v>
      </c>
      <c r="H14" s="138">
        <v>12</v>
      </c>
      <c r="I14" s="138"/>
      <c r="J14" s="138"/>
      <c r="K14" s="138"/>
      <c r="L14" s="125">
        <f t="shared" si="0"/>
        <v>12</v>
      </c>
      <c r="M14" s="125">
        <f t="shared" si="1"/>
        <v>360</v>
      </c>
      <c r="N14" s="126">
        <v>12</v>
      </c>
      <c r="O14" s="127">
        <f t="shared" si="2"/>
        <v>30</v>
      </c>
      <c r="P14" s="128"/>
      <c r="Q14" s="128"/>
      <c r="R14" s="128"/>
      <c r="S14" s="128"/>
      <c r="T14" s="128"/>
      <c r="U14" s="128"/>
      <c r="V14" s="128"/>
      <c r="W14" s="128"/>
    </row>
    <row r="15" spans="1:23" x14ac:dyDescent="0.25">
      <c r="A15" s="123">
        <v>12</v>
      </c>
      <c r="B15" s="276" t="s">
        <v>237</v>
      </c>
      <c r="C15" s="276"/>
      <c r="D15" s="123" t="s">
        <v>230</v>
      </c>
      <c r="E15" s="124">
        <v>30</v>
      </c>
      <c r="F15" s="138">
        <v>0</v>
      </c>
      <c r="G15" s="138">
        <v>10.25</v>
      </c>
      <c r="H15" s="138">
        <v>11.5</v>
      </c>
      <c r="I15" s="138"/>
      <c r="J15" s="138"/>
      <c r="K15" s="138"/>
      <c r="L15" s="125">
        <f t="shared" si="0"/>
        <v>7.25</v>
      </c>
      <c r="M15" s="125">
        <f t="shared" si="1"/>
        <v>217.5</v>
      </c>
      <c r="N15" s="126">
        <v>12</v>
      </c>
      <c r="O15" s="127">
        <f t="shared" si="2"/>
        <v>18.13</v>
      </c>
      <c r="P15" s="128"/>
      <c r="Q15" s="128"/>
      <c r="R15" s="128"/>
      <c r="S15" s="128"/>
      <c r="T15" s="128"/>
      <c r="U15" s="128"/>
      <c r="V15" s="128"/>
      <c r="W15" s="128"/>
    </row>
    <row r="16" spans="1:23" s="109" customFormat="1" x14ac:dyDescent="0.25">
      <c r="A16" s="123">
        <v>13</v>
      </c>
      <c r="B16" s="276" t="s">
        <v>238</v>
      </c>
      <c r="C16" s="276"/>
      <c r="D16" s="123" t="s">
        <v>223</v>
      </c>
      <c r="E16" s="124">
        <v>60</v>
      </c>
      <c r="F16" s="138">
        <v>29.9</v>
      </c>
      <c r="G16" s="138">
        <v>21.7</v>
      </c>
      <c r="H16" s="138">
        <v>25</v>
      </c>
      <c r="I16" s="138"/>
      <c r="J16" s="138"/>
      <c r="K16" s="138"/>
      <c r="L16" s="125">
        <f t="shared" si="0"/>
        <v>25.53</v>
      </c>
      <c r="M16" s="125">
        <f t="shared" si="1"/>
        <v>1531.8</v>
      </c>
      <c r="N16" s="126">
        <v>12</v>
      </c>
      <c r="O16" s="127">
        <f t="shared" si="2"/>
        <v>127.65</v>
      </c>
      <c r="P16" s="128"/>
      <c r="Q16" s="128"/>
      <c r="R16" s="128"/>
      <c r="S16" s="128"/>
      <c r="T16" s="128"/>
      <c r="U16" s="128"/>
      <c r="V16" s="128"/>
      <c r="W16" s="128"/>
    </row>
    <row r="17" spans="1:23" s="109" customFormat="1" x14ac:dyDescent="0.25">
      <c r="A17" s="123">
        <v>14</v>
      </c>
      <c r="B17" s="276" t="s">
        <v>271</v>
      </c>
      <c r="C17" s="276"/>
      <c r="D17" s="123" t="s">
        <v>270</v>
      </c>
      <c r="E17" s="124">
        <v>7</v>
      </c>
      <c r="F17" s="138">
        <v>22</v>
      </c>
      <c r="G17" s="138">
        <v>24</v>
      </c>
      <c r="H17" s="138">
        <v>31.5</v>
      </c>
      <c r="I17" s="138"/>
      <c r="J17" s="138"/>
      <c r="K17" s="138"/>
      <c r="L17" s="125">
        <f t="shared" si="0"/>
        <v>25.83</v>
      </c>
      <c r="M17" s="125">
        <f t="shared" si="1"/>
        <v>180.81</v>
      </c>
      <c r="N17" s="126">
        <v>12</v>
      </c>
      <c r="O17" s="127">
        <f t="shared" si="2"/>
        <v>15.07</v>
      </c>
      <c r="P17" s="128"/>
      <c r="Q17" s="128"/>
      <c r="R17" s="128"/>
      <c r="S17" s="128"/>
      <c r="T17" s="128"/>
      <c r="U17" s="128"/>
      <c r="V17" s="128"/>
      <c r="W17" s="128"/>
    </row>
    <row r="18" spans="1:23" x14ac:dyDescent="0.25">
      <c r="A18" s="123">
        <v>15</v>
      </c>
      <c r="B18" s="276" t="s">
        <v>272</v>
      </c>
      <c r="C18" s="276"/>
      <c r="D18" s="123" t="s">
        <v>270</v>
      </c>
      <c r="E18" s="124">
        <v>7</v>
      </c>
      <c r="F18" s="138">
        <v>85</v>
      </c>
      <c r="G18" s="138">
        <v>55</v>
      </c>
      <c r="H18" s="138">
        <v>83</v>
      </c>
      <c r="I18" s="138"/>
      <c r="J18" s="138"/>
      <c r="K18" s="138"/>
      <c r="L18" s="125">
        <f t="shared" si="0"/>
        <v>74.33</v>
      </c>
      <c r="M18" s="125">
        <f t="shared" si="1"/>
        <v>520.30999999999995</v>
      </c>
      <c r="N18" s="126">
        <v>12</v>
      </c>
      <c r="O18" s="127">
        <f t="shared" si="2"/>
        <v>43.36</v>
      </c>
      <c r="P18" s="128"/>
      <c r="Q18" s="128"/>
      <c r="R18" s="128"/>
      <c r="S18" s="128"/>
      <c r="T18" s="128"/>
      <c r="U18" s="128"/>
      <c r="V18" s="128"/>
      <c r="W18" s="128"/>
    </row>
    <row r="19" spans="1:23" x14ac:dyDescent="0.25">
      <c r="A19" s="278" t="s">
        <v>152</v>
      </c>
      <c r="B19" s="278"/>
      <c r="C19" s="278"/>
      <c r="D19" s="278"/>
      <c r="E19" s="278"/>
      <c r="F19" s="278"/>
      <c r="G19" s="278"/>
      <c r="H19" s="278"/>
      <c r="I19" s="278"/>
      <c r="J19" s="278"/>
      <c r="K19" s="278"/>
      <c r="L19" s="278"/>
      <c r="M19" s="278"/>
      <c r="N19" s="278"/>
      <c r="O19" s="159">
        <f>SUM(O4:O18)</f>
        <v>760.45</v>
      </c>
      <c r="P19" s="128"/>
      <c r="Q19" s="128"/>
      <c r="R19" s="128"/>
      <c r="S19" s="128"/>
      <c r="T19" s="128"/>
      <c r="U19" s="128"/>
      <c r="V19" s="128"/>
      <c r="W19" s="128"/>
    </row>
    <row r="20" spans="1:23" x14ac:dyDescent="0.25">
      <c r="A20" s="278" t="s">
        <v>156</v>
      </c>
      <c r="B20" s="278"/>
      <c r="C20" s="278"/>
      <c r="D20" s="278"/>
      <c r="E20" s="278"/>
      <c r="F20" s="278"/>
      <c r="G20" s="278"/>
      <c r="H20" s="278"/>
      <c r="I20" s="278"/>
      <c r="J20" s="278"/>
      <c r="K20" s="278"/>
      <c r="L20" s="278"/>
      <c r="M20" s="278"/>
      <c r="N20" s="278"/>
      <c r="O20" s="129">
        <f>O19/'RESUMO POR POSTO'!D8</f>
        <v>380.23</v>
      </c>
      <c r="P20" s="128"/>
      <c r="Q20" s="128"/>
      <c r="R20" s="128"/>
      <c r="S20" s="128"/>
      <c r="T20" s="128"/>
      <c r="U20" s="128"/>
      <c r="V20" s="128"/>
      <c r="W20" s="128"/>
    </row>
    <row r="21" spans="1:23" x14ac:dyDescent="0.25">
      <c r="A21" s="139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40"/>
      <c r="P21" s="128"/>
      <c r="Q21" s="128"/>
      <c r="R21" s="128"/>
      <c r="S21" s="128"/>
      <c r="T21" s="128"/>
      <c r="U21" s="128"/>
      <c r="V21" s="128"/>
      <c r="W21" s="128"/>
    </row>
    <row r="22" spans="1:23" x14ac:dyDescent="0.25">
      <c r="A22" s="275" t="s">
        <v>287</v>
      </c>
      <c r="B22" s="275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128"/>
      <c r="Q22" s="128"/>
      <c r="R22" s="128"/>
      <c r="S22" s="128"/>
      <c r="T22" s="128"/>
      <c r="U22" s="128"/>
      <c r="V22" s="128"/>
      <c r="W22" s="128"/>
    </row>
    <row r="23" spans="1:23" ht="31.5" x14ac:dyDescent="0.25">
      <c r="A23" s="119" t="s">
        <v>147</v>
      </c>
      <c r="B23" s="282" t="s">
        <v>148</v>
      </c>
      <c r="C23" s="282"/>
      <c r="D23" s="119" t="s">
        <v>157</v>
      </c>
      <c r="E23" s="118" t="s">
        <v>149</v>
      </c>
      <c r="F23" s="118" t="s">
        <v>239</v>
      </c>
      <c r="G23" s="118" t="s">
        <v>240</v>
      </c>
      <c r="H23" s="118" t="s">
        <v>241</v>
      </c>
      <c r="I23" s="118" t="s">
        <v>273</v>
      </c>
      <c r="J23" s="118" t="s">
        <v>273</v>
      </c>
      <c r="K23" s="118" t="s">
        <v>273</v>
      </c>
      <c r="L23" s="118" t="s">
        <v>243</v>
      </c>
      <c r="M23" s="118" t="s">
        <v>145</v>
      </c>
      <c r="N23" s="118" t="s">
        <v>150</v>
      </c>
      <c r="O23" s="118" t="s">
        <v>151</v>
      </c>
      <c r="P23" s="128"/>
      <c r="Q23" s="128"/>
      <c r="R23" s="128"/>
      <c r="S23" s="128"/>
      <c r="T23" s="128"/>
      <c r="U23" s="128"/>
      <c r="V23" s="128"/>
      <c r="W23" s="128"/>
    </row>
    <row r="24" spans="1:23" x14ac:dyDescent="0.25">
      <c r="A24" s="123">
        <v>1</v>
      </c>
      <c r="B24" s="283" t="s">
        <v>244</v>
      </c>
      <c r="C24" s="283"/>
      <c r="D24" s="123" t="s">
        <v>231</v>
      </c>
      <c r="E24" s="124">
        <v>5</v>
      </c>
      <c r="F24" s="138">
        <v>25.05</v>
      </c>
      <c r="G24" s="138">
        <v>19.95</v>
      </c>
      <c r="H24" s="138">
        <v>20</v>
      </c>
      <c r="I24" s="138"/>
      <c r="J24" s="138"/>
      <c r="K24" s="138"/>
      <c r="L24" s="125">
        <f>AVERAGE(F24:K24)</f>
        <v>21.67</v>
      </c>
      <c r="M24" s="125">
        <f>L24*E24</f>
        <v>108.35</v>
      </c>
      <c r="N24" s="126">
        <v>2</v>
      </c>
      <c r="O24" s="127">
        <f>M24/N24</f>
        <v>54.18</v>
      </c>
      <c r="P24" s="128"/>
      <c r="Q24" s="128"/>
      <c r="R24" s="128"/>
      <c r="S24" s="128"/>
      <c r="T24" s="128"/>
      <c r="U24" s="128"/>
      <c r="V24" s="128"/>
      <c r="W24" s="128"/>
    </row>
    <row r="25" spans="1:23" x14ac:dyDescent="0.25">
      <c r="A25" s="123">
        <v>2</v>
      </c>
      <c r="B25" s="276" t="s">
        <v>245</v>
      </c>
      <c r="C25" s="276"/>
      <c r="D25" s="123" t="s">
        <v>231</v>
      </c>
      <c r="E25" s="124">
        <v>5</v>
      </c>
      <c r="F25" s="138">
        <v>11.85</v>
      </c>
      <c r="G25" s="138">
        <v>18</v>
      </c>
      <c r="H25" s="138">
        <v>11</v>
      </c>
      <c r="I25" s="138"/>
      <c r="J25" s="138"/>
      <c r="K25" s="138"/>
      <c r="L25" s="125">
        <f>AVERAGE(F25:K25)</f>
        <v>13.62</v>
      </c>
      <c r="M25" s="125">
        <f>L25*E25</f>
        <v>68.099999999999994</v>
      </c>
      <c r="N25" s="126">
        <v>2</v>
      </c>
      <c r="O25" s="127">
        <f t="shared" ref="O25:O28" si="3">M25/N25</f>
        <v>34.049999999999997</v>
      </c>
      <c r="P25" s="128"/>
      <c r="Q25" s="128"/>
      <c r="R25" s="128"/>
      <c r="S25" s="128"/>
      <c r="T25" s="128"/>
      <c r="U25" s="128"/>
      <c r="V25" s="128"/>
      <c r="W25" s="128"/>
    </row>
    <row r="26" spans="1:23" x14ac:dyDescent="0.25">
      <c r="A26" s="123">
        <v>3</v>
      </c>
      <c r="B26" s="276" t="s">
        <v>246</v>
      </c>
      <c r="C26" s="276"/>
      <c r="D26" s="123" t="s">
        <v>231</v>
      </c>
      <c r="E26" s="124">
        <v>5</v>
      </c>
      <c r="F26" s="138">
        <v>13.25</v>
      </c>
      <c r="G26" s="138">
        <v>14.4</v>
      </c>
      <c r="H26" s="138">
        <v>25</v>
      </c>
      <c r="I26" s="138"/>
      <c r="J26" s="138"/>
      <c r="K26" s="138"/>
      <c r="L26" s="125">
        <f>AVERAGE(F26:K26)</f>
        <v>17.55</v>
      </c>
      <c r="M26" s="125">
        <f>L26*E26</f>
        <v>87.75</v>
      </c>
      <c r="N26" s="126">
        <v>2</v>
      </c>
      <c r="O26" s="127">
        <f t="shared" si="3"/>
        <v>43.88</v>
      </c>
      <c r="P26" s="128"/>
      <c r="Q26" s="128"/>
      <c r="R26" s="128"/>
      <c r="S26" s="128"/>
      <c r="T26" s="128"/>
      <c r="U26" s="128"/>
      <c r="V26" s="128"/>
      <c r="W26" s="128"/>
    </row>
    <row r="27" spans="1:23" x14ac:dyDescent="0.25">
      <c r="A27" s="123">
        <v>4</v>
      </c>
      <c r="B27" s="276" t="s">
        <v>247</v>
      </c>
      <c r="C27" s="276"/>
      <c r="D27" s="123" t="s">
        <v>231</v>
      </c>
      <c r="E27" s="124">
        <v>5</v>
      </c>
      <c r="F27" s="138">
        <v>25</v>
      </c>
      <c r="G27" s="138">
        <v>17</v>
      </c>
      <c r="H27" s="138">
        <v>20</v>
      </c>
      <c r="I27" s="138"/>
      <c r="J27" s="138"/>
      <c r="K27" s="138"/>
      <c r="L27" s="125">
        <f>AVERAGE(F27:K27)</f>
        <v>20.67</v>
      </c>
      <c r="M27" s="125">
        <f>L27*E27</f>
        <v>103.35</v>
      </c>
      <c r="N27" s="126">
        <v>2</v>
      </c>
      <c r="O27" s="127">
        <f t="shared" si="3"/>
        <v>51.68</v>
      </c>
      <c r="P27" s="128"/>
      <c r="Q27" s="128"/>
      <c r="R27" s="128"/>
      <c r="S27" s="128"/>
      <c r="T27" s="128"/>
      <c r="U27" s="128"/>
      <c r="V27" s="128"/>
      <c r="W27" s="128"/>
    </row>
    <row r="28" spans="1:23" x14ac:dyDescent="0.25">
      <c r="A28" s="123">
        <v>5</v>
      </c>
      <c r="B28" s="276" t="s">
        <v>248</v>
      </c>
      <c r="C28" s="276"/>
      <c r="D28" s="123" t="s">
        <v>231</v>
      </c>
      <c r="E28" s="124">
        <v>8</v>
      </c>
      <c r="F28" s="138">
        <v>11.55</v>
      </c>
      <c r="G28" s="138">
        <v>11</v>
      </c>
      <c r="H28" s="138">
        <v>10</v>
      </c>
      <c r="I28" s="138"/>
      <c r="J28" s="138"/>
      <c r="K28" s="138"/>
      <c r="L28" s="125">
        <f>AVERAGE(F28:K28)</f>
        <v>10.85</v>
      </c>
      <c r="M28" s="125">
        <f>L28*E28</f>
        <v>86.8</v>
      </c>
      <c r="N28" s="126">
        <v>2</v>
      </c>
      <c r="O28" s="127">
        <f t="shared" si="3"/>
        <v>43.4</v>
      </c>
      <c r="P28" s="128"/>
      <c r="Q28" s="128"/>
      <c r="R28" s="128"/>
      <c r="S28" s="128"/>
      <c r="T28" s="128"/>
      <c r="U28" s="128"/>
      <c r="V28" s="128"/>
      <c r="W28" s="128"/>
    </row>
    <row r="29" spans="1:23" x14ac:dyDescent="0.25">
      <c r="A29" s="278" t="s">
        <v>152</v>
      </c>
      <c r="B29" s="278"/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159">
        <f>SUM(O24:O28)</f>
        <v>227.19</v>
      </c>
      <c r="P29" s="128"/>
      <c r="Q29" s="128"/>
      <c r="R29" s="128"/>
      <c r="S29" s="128"/>
      <c r="T29" s="128"/>
      <c r="U29" s="128"/>
      <c r="V29" s="128"/>
      <c r="W29" s="128"/>
    </row>
    <row r="30" spans="1:23" x14ac:dyDescent="0.25">
      <c r="A30" s="278" t="s">
        <v>156</v>
      </c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129">
        <f>O29/'RESUMO POR POSTO'!D8</f>
        <v>113.6</v>
      </c>
      <c r="P30" s="128"/>
      <c r="Q30" s="128"/>
      <c r="R30" s="128"/>
      <c r="S30" s="128"/>
      <c r="T30" s="128"/>
      <c r="U30" s="128"/>
      <c r="V30" s="128"/>
      <c r="W30" s="128"/>
    </row>
    <row r="31" spans="1:23" x14ac:dyDescent="0.25">
      <c r="A31" s="139"/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40"/>
      <c r="P31" s="128"/>
      <c r="Q31" s="128"/>
      <c r="R31" s="128"/>
      <c r="S31" s="128"/>
      <c r="T31" s="128"/>
      <c r="U31" s="128"/>
      <c r="V31" s="128"/>
      <c r="W31" s="128"/>
    </row>
    <row r="32" spans="1:23" x14ac:dyDescent="0.25">
      <c r="A32" s="275" t="s">
        <v>288</v>
      </c>
      <c r="B32" s="275"/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128"/>
      <c r="Q32" s="128"/>
      <c r="R32" s="128"/>
      <c r="S32" s="128"/>
      <c r="T32" s="128"/>
      <c r="U32" s="128"/>
      <c r="V32" s="128"/>
      <c r="W32" s="128"/>
    </row>
    <row r="33" spans="1:23" ht="31.5" x14ac:dyDescent="0.25">
      <c r="A33" s="119" t="s">
        <v>147</v>
      </c>
      <c r="B33" s="282" t="s">
        <v>148</v>
      </c>
      <c r="C33" s="282"/>
      <c r="D33" s="119" t="s">
        <v>157</v>
      </c>
      <c r="E33" s="118" t="s">
        <v>149</v>
      </c>
      <c r="F33" s="118" t="s">
        <v>239</v>
      </c>
      <c r="G33" s="118" t="s">
        <v>240</v>
      </c>
      <c r="H33" s="118" t="s">
        <v>241</v>
      </c>
      <c r="I33" s="118" t="s">
        <v>242</v>
      </c>
      <c r="J33" s="118" t="s">
        <v>273</v>
      </c>
      <c r="K33" s="118" t="s">
        <v>273</v>
      </c>
      <c r="L33" s="118" t="s">
        <v>243</v>
      </c>
      <c r="M33" s="118" t="s">
        <v>145</v>
      </c>
      <c r="N33" s="118" t="s">
        <v>150</v>
      </c>
      <c r="O33" s="118" t="s">
        <v>151</v>
      </c>
      <c r="P33" s="128"/>
      <c r="Q33" s="128"/>
      <c r="R33" s="128"/>
      <c r="S33" s="128"/>
      <c r="T33" s="128"/>
      <c r="U33" s="128"/>
      <c r="V33" s="128"/>
      <c r="W33" s="128"/>
    </row>
    <row r="34" spans="1:23" x14ac:dyDescent="0.25">
      <c r="A34" s="123">
        <v>1</v>
      </c>
      <c r="B34" s="283" t="s">
        <v>249</v>
      </c>
      <c r="C34" s="283"/>
      <c r="D34" s="123" t="s">
        <v>231</v>
      </c>
      <c r="E34" s="124">
        <v>10</v>
      </c>
      <c r="F34" s="138">
        <v>14.2</v>
      </c>
      <c r="G34" s="138">
        <v>15.2</v>
      </c>
      <c r="H34" s="138">
        <v>30</v>
      </c>
      <c r="I34" s="138">
        <v>10.9</v>
      </c>
      <c r="J34" s="138"/>
      <c r="K34" s="138"/>
      <c r="L34" s="125">
        <f>AVERAGE(F34:K34)</f>
        <v>17.579999999999998</v>
      </c>
      <c r="M34" s="125">
        <f>L34*E34</f>
        <v>175.8</v>
      </c>
      <c r="N34" s="126">
        <v>6</v>
      </c>
      <c r="O34" s="127">
        <f>M34/N34</f>
        <v>29.3</v>
      </c>
      <c r="P34" s="128"/>
      <c r="Q34" s="128"/>
      <c r="R34" s="128"/>
      <c r="S34" s="128"/>
      <c r="T34" s="128"/>
      <c r="U34" s="128"/>
      <c r="V34" s="128"/>
      <c r="W34" s="128"/>
    </row>
    <row r="35" spans="1:23" x14ac:dyDescent="0.25">
      <c r="A35" s="123">
        <v>2</v>
      </c>
      <c r="B35" s="276" t="s">
        <v>250</v>
      </c>
      <c r="C35" s="276"/>
      <c r="D35" s="123" t="s">
        <v>231</v>
      </c>
      <c r="E35" s="124">
        <v>25</v>
      </c>
      <c r="F35" s="138">
        <v>7.55</v>
      </c>
      <c r="G35" s="138">
        <v>8.25</v>
      </c>
      <c r="H35" s="138">
        <v>9</v>
      </c>
      <c r="I35" s="138">
        <v>0</v>
      </c>
      <c r="J35" s="138"/>
      <c r="K35" s="138"/>
      <c r="L35" s="125">
        <f>AVERAGE(F35:K35)</f>
        <v>6.2</v>
      </c>
      <c r="M35" s="125">
        <f>L35*E35</f>
        <v>155</v>
      </c>
      <c r="N35" s="126">
        <v>6</v>
      </c>
      <c r="O35" s="127">
        <f t="shared" ref="O35:O36" si="4">M35/N35</f>
        <v>25.83</v>
      </c>
      <c r="P35" s="128"/>
      <c r="Q35" s="128"/>
      <c r="R35" s="128"/>
      <c r="S35" s="128"/>
      <c r="T35" s="128"/>
      <c r="U35" s="128"/>
      <c r="V35" s="128"/>
      <c r="W35" s="128"/>
    </row>
    <row r="36" spans="1:23" x14ac:dyDescent="0.25">
      <c r="A36" s="123">
        <v>3</v>
      </c>
      <c r="B36" s="276" t="s">
        <v>251</v>
      </c>
      <c r="C36" s="276"/>
      <c r="D36" s="123" t="s">
        <v>231</v>
      </c>
      <c r="E36" s="124">
        <v>6</v>
      </c>
      <c r="F36" s="138">
        <v>151.44999999999999</v>
      </c>
      <c r="G36" s="138">
        <v>117</v>
      </c>
      <c r="H36" s="138">
        <v>90</v>
      </c>
      <c r="I36" s="138">
        <v>0</v>
      </c>
      <c r="J36" s="138"/>
      <c r="K36" s="138"/>
      <c r="L36" s="125">
        <f>AVERAGE(F36:K36)</f>
        <v>89.61</v>
      </c>
      <c r="M36" s="125">
        <f>L36*E36</f>
        <v>537.66</v>
      </c>
      <c r="N36" s="126">
        <v>6</v>
      </c>
      <c r="O36" s="127">
        <f t="shared" si="4"/>
        <v>89.61</v>
      </c>
      <c r="P36" s="128"/>
      <c r="Q36" s="128"/>
      <c r="R36" s="128"/>
      <c r="S36" s="128"/>
      <c r="T36" s="128"/>
      <c r="U36" s="128"/>
      <c r="V36" s="128"/>
      <c r="W36" s="128"/>
    </row>
    <row r="37" spans="1:23" x14ac:dyDescent="0.25">
      <c r="A37" s="123">
        <v>4</v>
      </c>
      <c r="B37" s="276" t="s">
        <v>252</v>
      </c>
      <c r="C37" s="276"/>
      <c r="D37" s="123" t="s">
        <v>231</v>
      </c>
      <c r="E37" s="124">
        <v>10</v>
      </c>
      <c r="F37" s="138">
        <v>22.25</v>
      </c>
      <c r="G37" s="138">
        <v>10.6</v>
      </c>
      <c r="H37" s="138">
        <v>30</v>
      </c>
      <c r="I37" s="138">
        <v>0</v>
      </c>
      <c r="J37" s="138"/>
      <c r="K37" s="138"/>
      <c r="L37" s="125">
        <f>AVERAGE(F37:K37)</f>
        <v>15.71</v>
      </c>
      <c r="M37" s="125">
        <f>L37*E37</f>
        <v>157.1</v>
      </c>
      <c r="N37" s="126">
        <v>6</v>
      </c>
      <c r="O37" s="127">
        <f>M37/N37</f>
        <v>26.18</v>
      </c>
      <c r="P37" s="128"/>
      <c r="Q37" s="128"/>
      <c r="R37" s="128"/>
      <c r="S37" s="128"/>
      <c r="T37" s="128"/>
      <c r="U37" s="128"/>
      <c r="V37" s="128"/>
      <c r="W37" s="128"/>
    </row>
    <row r="38" spans="1:23" x14ac:dyDescent="0.25">
      <c r="A38" s="278" t="s">
        <v>152</v>
      </c>
      <c r="B38" s="278"/>
      <c r="C38" s="278"/>
      <c r="D38" s="278"/>
      <c r="E38" s="278"/>
      <c r="F38" s="278"/>
      <c r="G38" s="278"/>
      <c r="H38" s="278"/>
      <c r="I38" s="278"/>
      <c r="J38" s="278"/>
      <c r="K38" s="278"/>
      <c r="L38" s="278"/>
      <c r="M38" s="278"/>
      <c r="N38" s="278"/>
      <c r="O38" s="159">
        <f>SUM(O34:O37)</f>
        <v>170.92</v>
      </c>
      <c r="P38" s="128"/>
      <c r="Q38" s="128"/>
      <c r="R38" s="128"/>
      <c r="S38" s="128"/>
      <c r="T38" s="128"/>
      <c r="U38" s="128"/>
      <c r="V38" s="128"/>
      <c r="W38" s="128"/>
    </row>
    <row r="39" spans="1:23" x14ac:dyDescent="0.25">
      <c r="A39" s="278" t="s">
        <v>156</v>
      </c>
      <c r="B39" s="278"/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8"/>
      <c r="N39" s="278"/>
      <c r="O39" s="129">
        <f>O38/'RESUMO POR POSTO'!D8</f>
        <v>85.46</v>
      </c>
      <c r="P39" s="128"/>
      <c r="Q39" s="128"/>
      <c r="R39" s="128"/>
      <c r="S39" s="128"/>
      <c r="T39" s="128"/>
      <c r="U39" s="128"/>
      <c r="V39" s="128"/>
      <c r="W39" s="128"/>
    </row>
    <row r="40" spans="1:23" x14ac:dyDescent="0.25">
      <c r="A40" s="139"/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40"/>
      <c r="P40" s="128"/>
      <c r="Q40" s="128"/>
      <c r="R40" s="128"/>
      <c r="S40" s="128"/>
      <c r="T40" s="128"/>
      <c r="U40" s="128"/>
      <c r="V40" s="128"/>
      <c r="W40" s="128"/>
    </row>
    <row r="41" spans="1:23" x14ac:dyDescent="0.25">
      <c r="A41" s="139"/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40"/>
      <c r="P41" s="128"/>
      <c r="Q41" s="128"/>
      <c r="R41" s="128"/>
      <c r="S41" s="128"/>
      <c r="T41" s="128"/>
      <c r="U41" s="128"/>
      <c r="V41" s="128"/>
      <c r="W41" s="128"/>
    </row>
    <row r="42" spans="1:23" x14ac:dyDescent="0.25">
      <c r="A42" s="275" t="s">
        <v>290</v>
      </c>
      <c r="B42" s="275"/>
      <c r="C42" s="275"/>
      <c r="D42" s="275"/>
      <c r="E42" s="275"/>
      <c r="F42" s="275"/>
      <c r="G42" s="275"/>
      <c r="H42" s="275"/>
      <c r="I42" s="275"/>
      <c r="J42" s="275"/>
      <c r="K42" s="275"/>
      <c r="L42" s="275"/>
      <c r="M42" s="275"/>
      <c r="N42" s="275"/>
      <c r="O42" s="275"/>
      <c r="P42" s="128"/>
      <c r="Q42" s="128"/>
      <c r="R42" s="128"/>
      <c r="S42" s="128"/>
      <c r="T42" s="128"/>
      <c r="U42" s="128"/>
    </row>
    <row r="43" spans="1:23" ht="36.75" customHeight="1" x14ac:dyDescent="0.25">
      <c r="A43" s="130" t="s">
        <v>147</v>
      </c>
      <c r="B43" s="277" t="s">
        <v>148</v>
      </c>
      <c r="C43" s="277"/>
      <c r="D43" s="130" t="s">
        <v>157</v>
      </c>
      <c r="E43" s="130" t="s">
        <v>153</v>
      </c>
      <c r="F43" s="118" t="s">
        <v>239</v>
      </c>
      <c r="G43" s="118" t="s">
        <v>240</v>
      </c>
      <c r="H43" s="118" t="s">
        <v>241</v>
      </c>
      <c r="I43" s="118" t="s">
        <v>242</v>
      </c>
      <c r="J43" s="118" t="s">
        <v>273</v>
      </c>
      <c r="K43" s="118" t="s">
        <v>273</v>
      </c>
      <c r="L43" s="118" t="s">
        <v>243</v>
      </c>
      <c r="M43" s="130" t="s">
        <v>145</v>
      </c>
      <c r="N43" s="130" t="s">
        <v>150</v>
      </c>
      <c r="O43" s="130" t="s">
        <v>151</v>
      </c>
      <c r="P43" s="128"/>
      <c r="Q43" s="128"/>
      <c r="R43" s="128"/>
      <c r="S43" s="128"/>
      <c r="T43" s="128"/>
      <c r="U43" s="128"/>
    </row>
    <row r="44" spans="1:23" ht="29.25" customHeight="1" x14ac:dyDescent="0.25">
      <c r="A44" s="123">
        <v>1</v>
      </c>
      <c r="B44" s="274" t="s">
        <v>253</v>
      </c>
      <c r="C44" s="274"/>
      <c r="D44" s="123" t="s">
        <v>231</v>
      </c>
      <c r="E44" s="123">
        <v>1</v>
      </c>
      <c r="F44" s="141">
        <v>415.3</v>
      </c>
      <c r="G44" s="141">
        <v>0</v>
      </c>
      <c r="H44" s="141">
        <v>0</v>
      </c>
      <c r="I44" s="141">
        <v>0</v>
      </c>
      <c r="J44" s="141"/>
      <c r="K44" s="141"/>
      <c r="L44" s="125">
        <f t="shared" ref="L44:L52" si="5">AVERAGE(F44:K44)</f>
        <v>103.83</v>
      </c>
      <c r="M44" s="125">
        <f t="shared" ref="M44:M52" si="6">L44*E44</f>
        <v>103.83</v>
      </c>
      <c r="N44" s="132">
        <v>60</v>
      </c>
      <c r="O44" s="131">
        <f>M44/N44</f>
        <v>1.73</v>
      </c>
      <c r="P44" s="128"/>
      <c r="Q44" s="128"/>
      <c r="R44" s="128"/>
      <c r="S44" s="128"/>
      <c r="T44" s="128"/>
      <c r="U44" s="128"/>
    </row>
    <row r="45" spans="1:23" x14ac:dyDescent="0.25">
      <c r="A45" s="123">
        <v>2</v>
      </c>
      <c r="B45" s="274" t="s">
        <v>254</v>
      </c>
      <c r="C45" s="274"/>
      <c r="D45" s="123" t="s">
        <v>231</v>
      </c>
      <c r="E45" s="123">
        <v>1</v>
      </c>
      <c r="F45" s="141">
        <v>625</v>
      </c>
      <c r="G45" s="141">
        <v>0</v>
      </c>
      <c r="H45" s="141">
        <v>160</v>
      </c>
      <c r="I45" s="141">
        <v>630</v>
      </c>
      <c r="J45" s="141"/>
      <c r="K45" s="141"/>
      <c r="L45" s="125">
        <f t="shared" si="5"/>
        <v>353.75</v>
      </c>
      <c r="M45" s="125">
        <f t="shared" si="6"/>
        <v>353.75</v>
      </c>
      <c r="N45" s="132">
        <v>60</v>
      </c>
      <c r="O45" s="131">
        <f t="shared" ref="O45:O50" si="7">M45/N45</f>
        <v>5.9</v>
      </c>
      <c r="P45" s="128"/>
      <c r="Q45" s="128"/>
      <c r="R45" s="128"/>
      <c r="S45" s="128"/>
      <c r="T45" s="128"/>
      <c r="U45" s="128"/>
    </row>
    <row r="46" spans="1:23" x14ac:dyDescent="0.25">
      <c r="A46" s="123">
        <v>3</v>
      </c>
      <c r="B46" s="274" t="s">
        <v>255</v>
      </c>
      <c r="C46" s="274"/>
      <c r="D46" s="123" t="s">
        <v>231</v>
      </c>
      <c r="E46" s="123">
        <v>1</v>
      </c>
      <c r="F46" s="141">
        <v>0</v>
      </c>
      <c r="G46" s="141">
        <v>0</v>
      </c>
      <c r="H46" s="141">
        <v>0</v>
      </c>
      <c r="I46" s="141">
        <v>209.9</v>
      </c>
      <c r="J46" s="141"/>
      <c r="K46" s="141"/>
      <c r="L46" s="125">
        <f t="shared" si="5"/>
        <v>52.48</v>
      </c>
      <c r="M46" s="125">
        <f t="shared" si="6"/>
        <v>52.48</v>
      </c>
      <c r="N46" s="132">
        <v>60</v>
      </c>
      <c r="O46" s="131">
        <f t="shared" si="7"/>
        <v>0.87</v>
      </c>
      <c r="P46" s="128"/>
      <c r="Q46" s="128"/>
      <c r="R46" s="128"/>
      <c r="S46" s="128"/>
      <c r="T46" s="128"/>
      <c r="U46" s="128"/>
    </row>
    <row r="47" spans="1:23" x14ac:dyDescent="0.25">
      <c r="A47" s="123">
        <v>4</v>
      </c>
      <c r="B47" s="274" t="s">
        <v>256</v>
      </c>
      <c r="C47" s="274"/>
      <c r="D47" s="123" t="s">
        <v>231</v>
      </c>
      <c r="E47" s="123">
        <v>4</v>
      </c>
      <c r="F47" s="141">
        <v>21.45</v>
      </c>
      <c r="G47" s="141">
        <v>17</v>
      </c>
      <c r="H47" s="141">
        <v>80</v>
      </c>
      <c r="I47" s="141">
        <v>36.9</v>
      </c>
      <c r="J47" s="141"/>
      <c r="K47" s="141"/>
      <c r="L47" s="125">
        <f t="shared" si="5"/>
        <v>38.840000000000003</v>
      </c>
      <c r="M47" s="125">
        <f t="shared" si="6"/>
        <v>155.36000000000001</v>
      </c>
      <c r="N47" s="132">
        <v>60</v>
      </c>
      <c r="O47" s="131">
        <f t="shared" si="7"/>
        <v>2.59</v>
      </c>
      <c r="P47" s="128"/>
      <c r="Q47" s="128"/>
      <c r="R47" s="128"/>
      <c r="S47" s="128"/>
      <c r="T47" s="128"/>
      <c r="U47" s="128"/>
    </row>
    <row r="48" spans="1:23" x14ac:dyDescent="0.25">
      <c r="A48" s="123">
        <v>5</v>
      </c>
      <c r="B48" s="274" t="s">
        <v>257</v>
      </c>
      <c r="C48" s="274"/>
      <c r="D48" s="123" t="s">
        <v>231</v>
      </c>
      <c r="E48" s="123">
        <v>2</v>
      </c>
      <c r="F48" s="141">
        <v>0</v>
      </c>
      <c r="G48" s="141">
        <v>0</v>
      </c>
      <c r="H48" s="141">
        <v>0</v>
      </c>
      <c r="I48" s="141">
        <v>59.9</v>
      </c>
      <c r="J48" s="141"/>
      <c r="K48" s="141"/>
      <c r="L48" s="125">
        <f t="shared" si="5"/>
        <v>14.98</v>
      </c>
      <c r="M48" s="125">
        <f t="shared" si="6"/>
        <v>29.96</v>
      </c>
      <c r="N48" s="132">
        <v>60</v>
      </c>
      <c r="O48" s="131">
        <f t="shared" si="7"/>
        <v>0.5</v>
      </c>
      <c r="P48" s="128"/>
      <c r="Q48" s="128"/>
      <c r="R48" s="128"/>
      <c r="S48" s="128"/>
      <c r="T48" s="128"/>
      <c r="U48" s="128"/>
    </row>
    <row r="49" spans="1:21" x14ac:dyDescent="0.25">
      <c r="A49" s="123">
        <v>6</v>
      </c>
      <c r="B49" s="274" t="s">
        <v>258</v>
      </c>
      <c r="C49" s="274"/>
      <c r="D49" s="123" t="s">
        <v>231</v>
      </c>
      <c r="E49" s="123">
        <v>2</v>
      </c>
      <c r="F49" s="141">
        <v>70.099999999999994</v>
      </c>
      <c r="G49" s="141">
        <v>0</v>
      </c>
      <c r="H49" s="141">
        <v>170</v>
      </c>
      <c r="I49" s="141">
        <v>0</v>
      </c>
      <c r="J49" s="141"/>
      <c r="K49" s="141"/>
      <c r="L49" s="125">
        <f t="shared" si="5"/>
        <v>60.03</v>
      </c>
      <c r="M49" s="125">
        <f t="shared" si="6"/>
        <v>120.06</v>
      </c>
      <c r="N49" s="132">
        <v>60</v>
      </c>
      <c r="O49" s="131">
        <f t="shared" si="7"/>
        <v>2</v>
      </c>
      <c r="P49" s="128"/>
      <c r="Q49" s="128"/>
      <c r="R49" s="128"/>
      <c r="S49" s="128"/>
      <c r="T49" s="128"/>
      <c r="U49" s="128"/>
    </row>
    <row r="50" spans="1:21" x14ac:dyDescent="0.25">
      <c r="A50" s="123">
        <v>7</v>
      </c>
      <c r="B50" s="274" t="s">
        <v>259</v>
      </c>
      <c r="C50" s="274"/>
      <c r="D50" s="123" t="s">
        <v>231</v>
      </c>
      <c r="E50" s="123">
        <v>1</v>
      </c>
      <c r="F50" s="141">
        <v>0</v>
      </c>
      <c r="G50" s="141">
        <v>0</v>
      </c>
      <c r="H50" s="141">
        <v>0</v>
      </c>
      <c r="I50" s="141">
        <v>43.9</v>
      </c>
      <c r="J50" s="141"/>
      <c r="K50" s="141"/>
      <c r="L50" s="125">
        <f t="shared" si="5"/>
        <v>10.98</v>
      </c>
      <c r="M50" s="125">
        <f t="shared" si="6"/>
        <v>10.98</v>
      </c>
      <c r="N50" s="132">
        <v>60</v>
      </c>
      <c r="O50" s="131">
        <f t="shared" si="7"/>
        <v>0.18</v>
      </c>
      <c r="P50" s="128"/>
      <c r="Q50" s="128"/>
      <c r="R50" s="128"/>
      <c r="S50" s="128"/>
      <c r="T50" s="128"/>
      <c r="U50" s="128"/>
    </row>
    <row r="51" spans="1:21" x14ac:dyDescent="0.25">
      <c r="A51" s="123">
        <v>8</v>
      </c>
      <c r="B51" s="280" t="s">
        <v>260</v>
      </c>
      <c r="C51" s="281"/>
      <c r="D51" s="123" t="s">
        <v>231</v>
      </c>
      <c r="E51" s="123">
        <v>1</v>
      </c>
      <c r="F51" s="141">
        <v>0</v>
      </c>
      <c r="G51" s="141">
        <v>0</v>
      </c>
      <c r="H51" s="141">
        <v>1800</v>
      </c>
      <c r="I51" s="141">
        <v>799.8</v>
      </c>
      <c r="J51" s="141"/>
      <c r="K51" s="141"/>
      <c r="L51" s="125">
        <f t="shared" si="5"/>
        <v>649.95000000000005</v>
      </c>
      <c r="M51" s="125">
        <f t="shared" si="6"/>
        <v>649.95000000000005</v>
      </c>
      <c r="N51" s="132">
        <v>60</v>
      </c>
      <c r="O51" s="131">
        <f>M51/N51</f>
        <v>10.83</v>
      </c>
      <c r="P51" s="128"/>
      <c r="Q51" s="128"/>
      <c r="R51" s="128"/>
      <c r="S51" s="128"/>
      <c r="T51" s="128"/>
      <c r="U51" s="128"/>
    </row>
    <row r="52" spans="1:21" x14ac:dyDescent="0.25">
      <c r="A52" s="123">
        <v>9</v>
      </c>
      <c r="B52" s="280" t="s">
        <v>278</v>
      </c>
      <c r="C52" s="281"/>
      <c r="D52" s="123" t="s">
        <v>231</v>
      </c>
      <c r="E52" s="123">
        <v>1</v>
      </c>
      <c r="F52" s="141">
        <v>1400</v>
      </c>
      <c r="G52" s="141">
        <v>2783.85</v>
      </c>
      <c r="H52" s="141">
        <v>0</v>
      </c>
      <c r="I52" s="141">
        <v>0</v>
      </c>
      <c r="J52" s="141"/>
      <c r="K52" s="141"/>
      <c r="L52" s="125">
        <f t="shared" si="5"/>
        <v>1045.96</v>
      </c>
      <c r="M52" s="125">
        <f t="shared" si="6"/>
        <v>1045.96</v>
      </c>
      <c r="N52" s="132">
        <v>60</v>
      </c>
      <c r="O52" s="131">
        <f>M52/N52</f>
        <v>17.43</v>
      </c>
      <c r="P52" s="128"/>
      <c r="Q52" s="128"/>
      <c r="R52" s="128"/>
      <c r="S52" s="128"/>
      <c r="T52" s="128"/>
      <c r="U52" s="128"/>
    </row>
    <row r="53" spans="1:21" x14ac:dyDescent="0.25">
      <c r="A53" s="278" t="s">
        <v>152</v>
      </c>
      <c r="B53" s="278"/>
      <c r="C53" s="278"/>
      <c r="D53" s="278"/>
      <c r="E53" s="278"/>
      <c r="F53" s="278"/>
      <c r="G53" s="278"/>
      <c r="H53" s="278"/>
      <c r="I53" s="278"/>
      <c r="J53" s="278"/>
      <c r="K53" s="278"/>
      <c r="L53" s="278"/>
      <c r="M53" s="278"/>
      <c r="N53" s="278"/>
      <c r="O53" s="164">
        <f>SUM(O44:O52)</f>
        <v>42.03</v>
      </c>
      <c r="P53" s="128"/>
      <c r="Q53" s="128"/>
      <c r="R53" s="128"/>
      <c r="S53" s="128"/>
      <c r="T53" s="128"/>
      <c r="U53" s="128"/>
    </row>
    <row r="54" spans="1:21" x14ac:dyDescent="0.25">
      <c r="A54" s="278" t="s">
        <v>156</v>
      </c>
      <c r="B54" s="278"/>
      <c r="C54" s="278"/>
      <c r="D54" s="278"/>
      <c r="E54" s="278"/>
      <c r="F54" s="278"/>
      <c r="G54" s="278"/>
      <c r="H54" s="278"/>
      <c r="I54" s="278"/>
      <c r="J54" s="278"/>
      <c r="K54" s="278"/>
      <c r="L54" s="278"/>
      <c r="M54" s="278"/>
      <c r="N54" s="278"/>
      <c r="O54" s="133">
        <f>O53/'RESUMO POR POSTO'!D8</f>
        <v>21.02</v>
      </c>
      <c r="P54" s="128"/>
      <c r="Q54" s="128"/>
      <c r="R54" s="128"/>
      <c r="S54" s="128"/>
      <c r="T54" s="128"/>
      <c r="U54" s="128"/>
    </row>
    <row r="55" spans="1:21" x14ac:dyDescent="0.25">
      <c r="A55" s="134"/>
      <c r="B55" s="135"/>
      <c r="C55" s="135"/>
      <c r="D55" s="134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7"/>
      <c r="P55" s="128"/>
      <c r="Q55" s="128"/>
      <c r="R55" s="128"/>
      <c r="S55" s="128"/>
      <c r="T55" s="128"/>
      <c r="U55" s="128"/>
    </row>
    <row r="56" spans="1:21" x14ac:dyDescent="0.25">
      <c r="A56" s="30"/>
      <c r="B56" s="29"/>
      <c r="C56" s="29"/>
      <c r="D56" s="29"/>
      <c r="E56" s="31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128"/>
      <c r="Q56" s="128"/>
      <c r="R56" s="128"/>
      <c r="S56" s="128"/>
      <c r="T56" s="128"/>
      <c r="U56" s="128"/>
    </row>
    <row r="57" spans="1:21" x14ac:dyDescent="0.25">
      <c r="A57" s="134"/>
      <c r="B57" s="135"/>
      <c r="C57" s="135"/>
      <c r="D57" s="134"/>
      <c r="E57" s="136"/>
      <c r="F57" s="136"/>
      <c r="G57" s="136"/>
      <c r="H57" s="136"/>
      <c r="I57" s="136"/>
      <c r="J57" s="136"/>
      <c r="K57" s="136"/>
      <c r="L57" s="136"/>
      <c r="M57" s="279" t="s">
        <v>162</v>
      </c>
      <c r="N57" s="279"/>
      <c r="O57" s="142">
        <f>O20+O30+O39</f>
        <v>579.29</v>
      </c>
      <c r="P57" s="128"/>
      <c r="Q57" s="128"/>
      <c r="R57" s="128"/>
      <c r="S57" s="128"/>
      <c r="T57" s="128"/>
      <c r="U57" s="128"/>
    </row>
    <row r="58" spans="1:21" x14ac:dyDescent="0.25">
      <c r="A58" s="134"/>
      <c r="B58" s="135"/>
      <c r="C58" s="135"/>
      <c r="D58" s="134"/>
      <c r="E58" s="136"/>
      <c r="F58" s="136"/>
      <c r="G58" s="136"/>
      <c r="H58" s="136"/>
      <c r="I58" s="136"/>
      <c r="J58" s="136"/>
      <c r="K58" s="136"/>
      <c r="L58" s="136"/>
      <c r="M58" s="279" t="s">
        <v>219</v>
      </c>
      <c r="N58" s="279"/>
      <c r="O58" s="142">
        <f>O54</f>
        <v>21.02</v>
      </c>
      <c r="P58" s="128"/>
      <c r="Q58" s="128"/>
      <c r="R58" s="128"/>
      <c r="S58" s="128"/>
      <c r="T58" s="128"/>
      <c r="U58" s="128"/>
    </row>
    <row r="59" spans="1:21" x14ac:dyDescent="0.25">
      <c r="A59" s="134"/>
      <c r="B59" s="135"/>
      <c r="C59" s="135"/>
      <c r="D59" s="134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7"/>
      <c r="P59" s="128"/>
      <c r="Q59" s="128"/>
      <c r="R59" s="128"/>
      <c r="S59" s="128"/>
      <c r="T59" s="128"/>
      <c r="U59" s="128"/>
    </row>
    <row r="60" spans="1:21" x14ac:dyDescent="0.25">
      <c r="A60" s="134"/>
      <c r="B60" s="135"/>
      <c r="C60" s="135"/>
      <c r="D60" s="134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7"/>
      <c r="P60" s="128"/>
      <c r="Q60" s="128"/>
      <c r="R60" s="128"/>
      <c r="S60" s="128"/>
      <c r="T60" s="128"/>
      <c r="U60" s="128"/>
    </row>
  </sheetData>
  <mergeCells count="51">
    <mergeCell ref="B34:C34"/>
    <mergeCell ref="B27:C27"/>
    <mergeCell ref="B28:C28"/>
    <mergeCell ref="B35:C35"/>
    <mergeCell ref="B48:C48"/>
    <mergeCell ref="A32:O32"/>
    <mergeCell ref="B33:C33"/>
    <mergeCell ref="B24:C24"/>
    <mergeCell ref="B25:C25"/>
    <mergeCell ref="B26:C26"/>
    <mergeCell ref="A29:N29"/>
    <mergeCell ref="A30:N30"/>
    <mergeCell ref="B18:C18"/>
    <mergeCell ref="A19:N19"/>
    <mergeCell ref="A20:N20"/>
    <mergeCell ref="A22:O22"/>
    <mergeCell ref="B23:C23"/>
    <mergeCell ref="A2:O2"/>
    <mergeCell ref="B3:C3"/>
    <mergeCell ref="B4:C4"/>
    <mergeCell ref="B8:C8"/>
    <mergeCell ref="B6:C6"/>
    <mergeCell ref="B7:C7"/>
    <mergeCell ref="B9:C9"/>
    <mergeCell ref="B5:C5"/>
    <mergeCell ref="B17:C17"/>
    <mergeCell ref="B10:C10"/>
    <mergeCell ref="B12:C12"/>
    <mergeCell ref="B13:C13"/>
    <mergeCell ref="B11:C11"/>
    <mergeCell ref="B14:C14"/>
    <mergeCell ref="B15:C15"/>
    <mergeCell ref="B16:C16"/>
    <mergeCell ref="M57:N57"/>
    <mergeCell ref="M58:N58"/>
    <mergeCell ref="B51:C51"/>
    <mergeCell ref="A53:N53"/>
    <mergeCell ref="A54:N54"/>
    <mergeCell ref="B52:C52"/>
    <mergeCell ref="B49:C49"/>
    <mergeCell ref="B50:C50"/>
    <mergeCell ref="A42:O42"/>
    <mergeCell ref="B36:C36"/>
    <mergeCell ref="B37:C37"/>
    <mergeCell ref="B43:C43"/>
    <mergeCell ref="B44:C44"/>
    <mergeCell ref="B45:C45"/>
    <mergeCell ref="B46:C46"/>
    <mergeCell ref="B47:C47"/>
    <mergeCell ref="A38:N38"/>
    <mergeCell ref="A39:N39"/>
  </mergeCells>
  <printOptions horizontalCentered="1"/>
  <pageMargins left="0.31496062992125984" right="0.31496062992125984" top="0.19685039370078741" bottom="0.19685039370078741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Plan2</vt:lpstr>
      <vt:lpstr>Plan3</vt:lpstr>
      <vt:lpstr>RESUMO POR POSTO</vt:lpstr>
      <vt:lpstr>AUX LIMPEZA SEM INSALUBRIDADE</vt:lpstr>
      <vt:lpstr>AUX LIMPEZA COM INSALUBRIDADE</vt:lpstr>
      <vt:lpstr>UNIFORME</vt:lpstr>
      <vt:lpstr>MATERIAIS E EQUIPAMENTOS</vt:lpstr>
      <vt:lpstr>'AUX LIMPEZA COM INSALUBRIDADE'!Area_de_impressao</vt:lpstr>
      <vt:lpstr>'AUX LIMPEZA SEM INSALUBRIDADE'!Area_de_impressao</vt:lpstr>
      <vt:lpstr>'MATERIAIS E EQUIPAMENTOS'!Area_de_impressao</vt:lpstr>
      <vt:lpstr>'RESUMO POR POSTO'!Area_de_impressao</vt:lpstr>
      <vt:lpstr>UNIFORME!Area_de_impressao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gabryel</dc:creator>
  <cp:lastModifiedBy>Hamilton Augusto Lacerda Santos Junior</cp:lastModifiedBy>
  <cp:lastPrinted>2023-11-10T16:42:54Z</cp:lastPrinted>
  <dcterms:created xsi:type="dcterms:W3CDTF">2014-04-11T01:53:38Z</dcterms:created>
  <dcterms:modified xsi:type="dcterms:W3CDTF">2025-04-02T13:12:40Z</dcterms:modified>
</cp:coreProperties>
</file>